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424a9f2a86ea6184/Online/"/>
    </mc:Choice>
  </mc:AlternateContent>
  <xr:revisionPtr revIDLastSave="0" documentId="8_{88CA43B3-2042-4949-87DF-0EA52E75BFCF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KTF Stand 8-25" sheetId="10" r:id="rId1"/>
    <sheet name="KTF Ausgaben Stand 8-25" sheetId="13" r:id="rId2"/>
    <sheet name="Klimageld" sheetId="7" r:id="rId3"/>
    <sheet name="EEG-Soli" sheetId="9" r:id="rId4"/>
    <sheet name="KTF 1. Entwurf BH25" sheetId="4" r:id="rId5"/>
    <sheet name="KTF Ausg 1. Entwurf BH25" sheetId="6" r:id="rId6"/>
    <sheet name="KTF nach BH24" sheetId="3" r:id="rId7"/>
    <sheet name="KTF Ausg Entwurf 24" sheetId="5" r:id="rId8"/>
    <sheet name="KTF nach BVerfG" sheetId="2" r:id="rId9"/>
    <sheet name="KTF vor BVerfG" sheetId="1" r:id="rId10"/>
    <sheet name="Impressum" sheetId="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0lF6pzSK8ssbC8J9pNFCNp5bdu+Lo7imdlknSVByPu4="/>
    </ext>
  </extLst>
</workbook>
</file>

<file path=xl/calcChain.xml><?xml version="1.0" encoding="utf-8"?>
<calcChain xmlns="http://schemas.openxmlformats.org/spreadsheetml/2006/main">
  <c r="E5" i="7" l="1"/>
  <c r="E14" i="7"/>
  <c r="F14" i="7" s="1"/>
  <c r="G14" i="7" s="1"/>
  <c r="H14" i="7" s="1"/>
  <c r="C176" i="13"/>
  <c r="C177" i="13"/>
  <c r="C178" i="13"/>
  <c r="C180" i="13"/>
  <c r="C186" i="13" s="1"/>
  <c r="C185" i="13"/>
  <c r="D15" i="7"/>
  <c r="D8" i="7"/>
  <c r="N8" i="7"/>
  <c r="N9" i="7" s="1"/>
  <c r="N10" i="7"/>
  <c r="C182" i="13" l="1"/>
  <c r="C183" i="13" s="1"/>
  <c r="C181" i="13"/>
  <c r="N11" i="7"/>
  <c r="D9" i="7" s="1"/>
  <c r="D10" i="7" s="1"/>
  <c r="D17" i="7" s="1"/>
  <c r="D16" i="7" l="1"/>
  <c r="C5" i="9"/>
  <c r="F67" i="13"/>
  <c r="J67" i="13" s="1"/>
  <c r="F73" i="13"/>
  <c r="J73" i="13" s="1"/>
  <c r="F68" i="13"/>
  <c r="F69" i="13"/>
  <c r="F71" i="13"/>
  <c r="F72" i="13"/>
  <c r="F66" i="13"/>
  <c r="H67" i="13"/>
  <c r="H73" i="13"/>
  <c r="H68" i="13"/>
  <c r="H69" i="13"/>
  <c r="H71" i="13"/>
  <c r="H72" i="13"/>
  <c r="H66" i="13"/>
  <c r="F162" i="13"/>
  <c r="F161" i="13"/>
  <c r="F160" i="13"/>
  <c r="G36" i="13"/>
  <c r="F36" i="13"/>
  <c r="G35" i="13"/>
  <c r="F34" i="13"/>
  <c r="F30" i="13"/>
  <c r="H25" i="13"/>
  <c r="G25" i="13"/>
  <c r="F25" i="13"/>
  <c r="F70" i="13" s="1"/>
  <c r="H24" i="13"/>
  <c r="H22" i="13"/>
  <c r="G66" i="13"/>
  <c r="G67" i="13"/>
  <c r="G73" i="13"/>
  <c r="G68" i="13"/>
  <c r="G69" i="13"/>
  <c r="G71" i="13"/>
  <c r="G72" i="13"/>
  <c r="G139" i="13"/>
  <c r="G144" i="13"/>
  <c r="G154" i="13"/>
  <c r="G155" i="13"/>
  <c r="G160" i="13"/>
  <c r="G161" i="13"/>
  <c r="G162" i="13"/>
  <c r="E131" i="13"/>
  <c r="C10" i="10"/>
  <c r="C7" i="7" s="1"/>
  <c r="C9" i="10"/>
  <c r="C6" i="7" s="1"/>
  <c r="F131" i="13"/>
  <c r="G131" i="13"/>
  <c r="H131" i="13"/>
  <c r="I131" i="13"/>
  <c r="F121" i="13"/>
  <c r="G121" i="13" s="1"/>
  <c r="H121" i="13" s="1"/>
  <c r="I121" i="13" s="1"/>
  <c r="H13" i="10"/>
  <c r="G13" i="10"/>
  <c r="F13" i="10"/>
  <c r="F10" i="10"/>
  <c r="F7" i="7" s="1"/>
  <c r="H17" i="10"/>
  <c r="G17" i="10"/>
  <c r="F17" i="10"/>
  <c r="D17" i="10"/>
  <c r="D16" i="10"/>
  <c r="E17" i="10"/>
  <c r="E13" i="10"/>
  <c r="H62" i="13" s="1"/>
  <c r="E15" i="10"/>
  <c r="H10" i="10"/>
  <c r="H21" i="10" s="1"/>
  <c r="H9" i="10"/>
  <c r="H6" i="7" s="1"/>
  <c r="G10" i="10"/>
  <c r="G7" i="7" s="1"/>
  <c r="G9" i="10"/>
  <c r="G6" i="7" s="1"/>
  <c r="F9" i="10"/>
  <c r="F6" i="7" s="1"/>
  <c r="E12" i="10"/>
  <c r="F12" i="10" s="1"/>
  <c r="G12" i="10" s="1"/>
  <c r="H12" i="10" s="1"/>
  <c r="E10" i="10"/>
  <c r="E7" i="7" s="1"/>
  <c r="E9" i="10"/>
  <c r="E7" i="10" s="1"/>
  <c r="H7" i="7" l="1"/>
  <c r="H15" i="7" s="1"/>
  <c r="E6" i="7"/>
  <c r="J69" i="13"/>
  <c r="J72" i="13"/>
  <c r="J71" i="13"/>
  <c r="J68" i="13"/>
  <c r="J66" i="13"/>
  <c r="H70" i="13"/>
  <c r="F61" i="13"/>
  <c r="G70" i="13"/>
  <c r="F163" i="13"/>
  <c r="F62" i="13" s="1"/>
  <c r="H61" i="13"/>
  <c r="H63" i="13" s="1"/>
  <c r="H74" i="13" s="1"/>
  <c r="G61" i="13"/>
  <c r="G156" i="13"/>
  <c r="G163" i="13"/>
  <c r="F7" i="10"/>
  <c r="G7" i="10"/>
  <c r="H8" i="10"/>
  <c r="H20" i="10" s="1"/>
  <c r="H7" i="10"/>
  <c r="H14" i="10" s="1"/>
  <c r="H18" i="10" s="1"/>
  <c r="E162" i="13"/>
  <c r="E161" i="13"/>
  <c r="E160" i="13"/>
  <c r="E155" i="13"/>
  <c r="F155" i="13" s="1"/>
  <c r="E154" i="13"/>
  <c r="E73" i="13"/>
  <c r="I73" i="13" s="1"/>
  <c r="E170" i="13"/>
  <c r="E172" i="13" s="1"/>
  <c r="E164" i="13" s="1"/>
  <c r="E67" i="13"/>
  <c r="I67" i="13" s="1"/>
  <c r="E68" i="13"/>
  <c r="I68" i="13" s="1"/>
  <c r="E69" i="13"/>
  <c r="I69" i="13" s="1"/>
  <c r="E70" i="13"/>
  <c r="E71" i="13"/>
  <c r="I71" i="13" s="1"/>
  <c r="E72" i="13"/>
  <c r="I72" i="13" s="1"/>
  <c r="E66" i="13"/>
  <c r="D27" i="13"/>
  <c r="H8" i="7" l="1"/>
  <c r="H16" i="7" s="1"/>
  <c r="H75" i="13"/>
  <c r="H76" i="13" s="1"/>
  <c r="I70" i="13"/>
  <c r="I66" i="13"/>
  <c r="J70" i="13"/>
  <c r="F63" i="13"/>
  <c r="F74" i="13" s="1"/>
  <c r="E156" i="13"/>
  <c r="E163" i="13"/>
  <c r="I27" i="13"/>
  <c r="H139" i="13"/>
  <c r="I23" i="13"/>
  <c r="I38" i="13"/>
  <c r="I54" i="13"/>
  <c r="I55" i="13"/>
  <c r="I58" i="13"/>
  <c r="E61" i="13"/>
  <c r="H144" i="13"/>
  <c r="E144" i="13"/>
  <c r="I57" i="13"/>
  <c r="I56" i="13"/>
  <c r="I53" i="13"/>
  <c r="I52" i="13"/>
  <c r="I48" i="13"/>
  <c r="I47" i="13"/>
  <c r="I46" i="13"/>
  <c r="I43" i="13"/>
  <c r="I42" i="13"/>
  <c r="I41" i="13"/>
  <c r="I37" i="13"/>
  <c r="I33" i="13"/>
  <c r="D13" i="10"/>
  <c r="G62" i="13" s="1"/>
  <c r="D15" i="10"/>
  <c r="C15" i="10"/>
  <c r="E139" i="13" s="1"/>
  <c r="D10" i="10"/>
  <c r="D9" i="10"/>
  <c r="G21" i="10"/>
  <c r="F21" i="10"/>
  <c r="E21" i="10"/>
  <c r="G8" i="10"/>
  <c r="G20" i="10" s="1"/>
  <c r="F8" i="10"/>
  <c r="F20" i="10" s="1"/>
  <c r="E8" i="10"/>
  <c r="E20" i="10" s="1"/>
  <c r="G14" i="10"/>
  <c r="F14" i="10"/>
  <c r="E14" i="10"/>
  <c r="E18" i="10" s="1"/>
  <c r="D6" i="10"/>
  <c r="E6" i="10" s="1"/>
  <c r="F6" i="10" s="1"/>
  <c r="G6" i="10" s="1"/>
  <c r="H6" i="10" s="1"/>
  <c r="E15" i="7"/>
  <c r="F15" i="7"/>
  <c r="G15" i="7"/>
  <c r="C15" i="7"/>
  <c r="H23" i="4"/>
  <c r="H24" i="4"/>
  <c r="H8" i="4"/>
  <c r="E21" i="4"/>
  <c r="F21" i="4"/>
  <c r="D21" i="4"/>
  <c r="C21" i="4"/>
  <c r="C20" i="4"/>
  <c r="E20" i="4"/>
  <c r="F20" i="4"/>
  <c r="G20" i="4"/>
  <c r="F8" i="7"/>
  <c r="F16" i="7" s="1"/>
  <c r="F5" i="7"/>
  <c r="G5" i="7" s="1"/>
  <c r="H5" i="7" s="1"/>
  <c r="D12" i="2"/>
  <c r="C12" i="2"/>
  <c r="D21" i="10" l="1"/>
  <c r="F75" i="13"/>
  <c r="F76" i="13" s="1"/>
  <c r="J45" i="13"/>
  <c r="J25" i="13"/>
  <c r="J60" i="13"/>
  <c r="J32" i="13"/>
  <c r="J51" i="13"/>
  <c r="J46" i="13"/>
  <c r="J34" i="13"/>
  <c r="J57" i="13"/>
  <c r="J24" i="13"/>
  <c r="J43" i="13"/>
  <c r="J38" i="13"/>
  <c r="J26" i="13"/>
  <c r="J41" i="13"/>
  <c r="J52" i="13"/>
  <c r="J55" i="13"/>
  <c r="J22" i="13"/>
  <c r="J49" i="13"/>
  <c r="J23" i="13"/>
  <c r="J27" i="13"/>
  <c r="J30" i="13"/>
  <c r="J33" i="13"/>
  <c r="J44" i="13"/>
  <c r="J47" i="13"/>
  <c r="J29" i="13"/>
  <c r="J53" i="13"/>
  <c r="J31" i="13"/>
  <c r="J35" i="13"/>
  <c r="J56" i="13"/>
  <c r="J36" i="13"/>
  <c r="J39" i="13"/>
  <c r="J58" i="13"/>
  <c r="J48" i="13"/>
  <c r="J28" i="13"/>
  <c r="J37" i="13"/>
  <c r="J40" i="13"/>
  <c r="J59" i="13"/>
  <c r="J54" i="13"/>
  <c r="J50" i="13"/>
  <c r="J42" i="13"/>
  <c r="G63" i="13"/>
  <c r="C17" i="10"/>
  <c r="C16" i="10"/>
  <c r="E165" i="13"/>
  <c r="E62" i="13"/>
  <c r="E63" i="13" s="1"/>
  <c r="E74" i="13" s="1"/>
  <c r="E75" i="13" s="1"/>
  <c r="E76" i="13" s="1"/>
  <c r="I51" i="13"/>
  <c r="I44" i="13"/>
  <c r="I39" i="13"/>
  <c r="C7" i="10"/>
  <c r="D7" i="10"/>
  <c r="D14" i="10" s="1"/>
  <c r="C8" i="10"/>
  <c r="C21" i="10"/>
  <c r="D8" i="10"/>
  <c r="D20" i="10" s="1"/>
  <c r="G8" i="7"/>
  <c r="G16" i="7" s="1"/>
  <c r="E8" i="7"/>
  <c r="E16" i="7" s="1"/>
  <c r="G7" i="4"/>
  <c r="G14" i="4" s="1"/>
  <c r="G8" i="4"/>
  <c r="G23" i="4" s="1"/>
  <c r="G24" i="4"/>
  <c r="F6" i="6"/>
  <c r="F7" i="6"/>
  <c r="F8" i="6"/>
  <c r="F9" i="6"/>
  <c r="F10" i="6"/>
  <c r="F11" i="6"/>
  <c r="F12" i="6"/>
  <c r="F13" i="6"/>
  <c r="F14" i="6"/>
  <c r="F15" i="6"/>
  <c r="F16" i="6"/>
  <c r="F17" i="6"/>
  <c r="F5" i="6"/>
  <c r="C26" i="6"/>
  <c r="C25" i="6"/>
  <c r="E6" i="6"/>
  <c r="E7" i="6"/>
  <c r="E8" i="6"/>
  <c r="E9" i="6"/>
  <c r="E10" i="6"/>
  <c r="E11" i="6"/>
  <c r="E12" i="6"/>
  <c r="E13" i="6"/>
  <c r="E14" i="6"/>
  <c r="E15" i="6"/>
  <c r="E16" i="6"/>
  <c r="E17" i="6"/>
  <c r="E5" i="6"/>
  <c r="C13" i="4"/>
  <c r="C12" i="9"/>
  <c r="C11" i="9"/>
  <c r="C10" i="9"/>
  <c r="C9" i="9"/>
  <c r="C21" i="6"/>
  <c r="E21" i="6" s="1"/>
  <c r="D19" i="6"/>
  <c r="D18" i="6" s="1"/>
  <c r="C14" i="5"/>
  <c r="F24" i="4"/>
  <c r="E24" i="4"/>
  <c r="D24" i="4"/>
  <c r="C24" i="4"/>
  <c r="D12" i="4"/>
  <c r="F8" i="4"/>
  <c r="F23" i="4" s="1"/>
  <c r="E8" i="4"/>
  <c r="E23" i="4" s="1"/>
  <c r="D8" i="4"/>
  <c r="D23" i="4" s="1"/>
  <c r="C8" i="4"/>
  <c r="C23" i="4" s="1"/>
  <c r="F7" i="4"/>
  <c r="F14" i="4" s="1"/>
  <c r="E7" i="4"/>
  <c r="E14" i="4" s="1"/>
  <c r="D7" i="4"/>
  <c r="C7" i="4"/>
  <c r="C14" i="4" s="1"/>
  <c r="D6" i="4"/>
  <c r="E6" i="4" s="1"/>
  <c r="F6" i="4" s="1"/>
  <c r="G6" i="4" s="1"/>
  <c r="F20" i="3"/>
  <c r="E20" i="3"/>
  <c r="D20" i="3"/>
  <c r="C20" i="3"/>
  <c r="F8" i="3"/>
  <c r="F19" i="3" s="1"/>
  <c r="E8" i="3"/>
  <c r="E19" i="3" s="1"/>
  <c r="D8" i="3"/>
  <c r="D19" i="3" s="1"/>
  <c r="C8" i="3"/>
  <c r="C19" i="3" s="1"/>
  <c r="F7" i="3"/>
  <c r="F15" i="3" s="1"/>
  <c r="E7" i="3"/>
  <c r="E15" i="3" s="1"/>
  <c r="D7" i="3"/>
  <c r="D15" i="3" s="1"/>
  <c r="C7" i="3"/>
  <c r="C15" i="3" s="1"/>
  <c r="C17" i="3" s="1"/>
  <c r="D6" i="3"/>
  <c r="E6" i="3" s="1"/>
  <c r="F6" i="3" s="1"/>
  <c r="I7" i="2"/>
  <c r="G7" i="2"/>
  <c r="F7" i="2"/>
  <c r="E7" i="2"/>
  <c r="D7" i="2"/>
  <c r="C7" i="2"/>
  <c r="I6" i="2"/>
  <c r="I13" i="2" s="1"/>
  <c r="G6" i="2"/>
  <c r="G13" i="2" s="1"/>
  <c r="F6" i="2"/>
  <c r="F13" i="2" s="1"/>
  <c r="E6" i="2"/>
  <c r="E13" i="2" s="1"/>
  <c r="D6" i="2"/>
  <c r="D13" i="2" s="1"/>
  <c r="D15" i="2" s="1"/>
  <c r="C6" i="2"/>
  <c r="C13" i="2" s="1"/>
  <c r="C15" i="2" s="1"/>
  <c r="E5" i="2"/>
  <c r="F5" i="2" s="1"/>
  <c r="G5" i="2" s="1"/>
  <c r="J19" i="1"/>
  <c r="I19" i="1"/>
  <c r="H19" i="1"/>
  <c r="G19" i="1"/>
  <c r="F19" i="1"/>
  <c r="E19" i="1"/>
  <c r="D19" i="1"/>
  <c r="K11" i="1"/>
  <c r="J7" i="1"/>
  <c r="J18" i="1" s="1"/>
  <c r="I7" i="1"/>
  <c r="I18" i="1" s="1"/>
  <c r="H7" i="1"/>
  <c r="H18" i="1" s="1"/>
  <c r="G7" i="1"/>
  <c r="G18" i="1" s="1"/>
  <c r="F7" i="1"/>
  <c r="F18" i="1" s="1"/>
  <c r="E7" i="1"/>
  <c r="E18" i="1" s="1"/>
  <c r="D7" i="1"/>
  <c r="D18" i="1" s="1"/>
  <c r="C7" i="1"/>
  <c r="C18" i="1" s="1"/>
  <c r="J6" i="1"/>
  <c r="J13" i="1" s="1"/>
  <c r="I6" i="1"/>
  <c r="I13" i="1" s="1"/>
  <c r="H6" i="1"/>
  <c r="H13" i="1" s="1"/>
  <c r="G6" i="1"/>
  <c r="G13" i="1" s="1"/>
  <c r="F6" i="1"/>
  <c r="F13" i="1" s="1"/>
  <c r="E6" i="1"/>
  <c r="E13" i="1" s="1"/>
  <c r="D6" i="1"/>
  <c r="D13" i="1" s="1"/>
  <c r="C6" i="1"/>
  <c r="C13" i="1" s="1"/>
  <c r="C16" i="1" s="1"/>
  <c r="D12" i="1" s="1"/>
  <c r="D16" i="1" s="1"/>
  <c r="E12" i="1" s="1"/>
  <c r="H5" i="1"/>
  <c r="I5" i="1" s="1"/>
  <c r="J5" i="1" s="1"/>
  <c r="F154" i="13" l="1"/>
  <c r="C6" i="9"/>
  <c r="F156" i="13"/>
  <c r="C13" i="10" s="1"/>
  <c r="C14" i="10" s="1"/>
  <c r="C18" i="10" s="1"/>
  <c r="E157" i="13"/>
  <c r="E158" i="13" s="1"/>
  <c r="E167" i="13" s="1"/>
  <c r="J63" i="13"/>
  <c r="G74" i="13"/>
  <c r="J21" i="13"/>
  <c r="C20" i="10"/>
  <c r="D18" i="10"/>
  <c r="F18" i="10" s="1"/>
  <c r="G18" i="10" s="1"/>
  <c r="C19" i="6"/>
  <c r="C18" i="6" s="1"/>
  <c r="D20" i="4"/>
  <c r="C18" i="4"/>
  <c r="D13" i="4" s="1"/>
  <c r="E16" i="1"/>
  <c r="F16" i="1" s="1"/>
  <c r="G16" i="1" s="1"/>
  <c r="H12" i="1" s="1"/>
  <c r="H16" i="1" s="1"/>
  <c r="I12" i="1" s="1"/>
  <c r="I16" i="1" s="1"/>
  <c r="J12" i="1" s="1"/>
  <c r="D14" i="3"/>
  <c r="D17" i="3" s="1"/>
  <c r="E12" i="2"/>
  <c r="E15" i="2" s="1"/>
  <c r="F21" i="6"/>
  <c r="F18" i="6"/>
  <c r="F19" i="6"/>
  <c r="C27" i="6"/>
  <c r="E19" i="6"/>
  <c r="C20" i="6"/>
  <c r="D20" i="6"/>
  <c r="D22" i="6" s="1"/>
  <c r="C13" i="9"/>
  <c r="C15" i="9" s="1"/>
  <c r="C17" i="9" s="1"/>
  <c r="C8" i="7"/>
  <c r="C16" i="7" s="1"/>
  <c r="D14" i="4"/>
  <c r="I74" i="13" l="1"/>
  <c r="G75" i="13"/>
  <c r="J75" i="13" s="1"/>
  <c r="J74" i="13"/>
  <c r="D18" i="4"/>
  <c r="E13" i="4" s="1"/>
  <c r="F12" i="2"/>
  <c r="F15" i="2" s="1"/>
  <c r="J16" i="1"/>
  <c r="E14" i="3"/>
  <c r="E17" i="3" s="1"/>
  <c r="C28" i="6"/>
  <c r="C29" i="6" s="1"/>
  <c r="C30" i="6" s="1"/>
  <c r="F20" i="6"/>
  <c r="E20" i="6"/>
  <c r="C22" i="6"/>
  <c r="E18" i="6"/>
  <c r="G76" i="13" l="1"/>
  <c r="J76" i="13" s="1"/>
  <c r="I75" i="13"/>
  <c r="G12" i="2"/>
  <c r="G15" i="2" s="1"/>
  <c r="F14" i="3"/>
  <c r="F17" i="3" s="1"/>
  <c r="E18" i="4"/>
  <c r="F13" i="4" s="1"/>
  <c r="F18" i="4" s="1"/>
  <c r="G13" i="4" s="1"/>
  <c r="G18" i="4" s="1"/>
  <c r="E22" i="6"/>
  <c r="H19" i="6" s="1"/>
  <c r="F22" i="6"/>
  <c r="I76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D13" authorId="0" shapeId="0" xr:uid="{9EA927A5-D5AA-4CF2-8887-F27463A7948B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Ab 2025 ohne EEG-Differenzkosten.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C11" authorId="0" shapeId="0" xr:uid="{33271CC7-C964-4555-8F2E-5F600342743B}">
      <text>
        <r>
          <rPr>
            <b/>
            <sz val="9"/>
            <color indexed="81"/>
            <rFont val="Segoe UI"/>
            <family val="2"/>
          </rPr>
          <t xml:space="preserve">AW:
</t>
        </r>
        <r>
          <rPr>
            <sz val="9"/>
            <color indexed="81"/>
            <rFont val="Segoe UI"/>
            <family val="2"/>
          </rPr>
          <t>Ausgleich der höheren EEG-Differenzkosten</t>
        </r>
      </text>
    </comment>
    <comment ref="D12" authorId="0" shapeId="0" xr:uid="{BD629275-C999-49F4-9255-F08C1267AB44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Siehe zur Zusammensetzung entsprechendes Register.</t>
        </r>
      </text>
    </comment>
    <comment ref="B17" authorId="0" shapeId="0" xr:uid="{8AD4913B-1270-400B-90AC-B2E5E35B070C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Merkposten Gegenfinanzierung EEG-Differenzkosten Kernhaushalt</t>
        </r>
      </text>
    </comment>
    <comment ref="B21" authorId="0" shapeId="0" xr:uid="{108450FA-4E52-4E4D-9D6C-59A666A80B50}">
      <text>
        <r>
          <rPr>
            <sz val="9"/>
            <color indexed="81"/>
            <rFont val="Segoe UI"/>
            <family val="2"/>
          </rPr>
          <t>Für die EEG-Differenzkosten wird hier der Planwert Ende 2023 für das Jahr 2024 verwendet.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Lt. PM BMWK 49 Mrd. €.
======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D11" authorId="0" shapeId="0" xr:uid="{31802E93-DA59-4431-A7F5-CFAF0C8549D1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Siehe zur Zusammensetzung entsprechendes Register.</t>
        </r>
      </text>
    </comment>
    <comment ref="C12" authorId="0" shapeId="0" xr:uid="{4C24F42E-B7AC-4D0E-B7B7-1FDE4320642C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Urspr. Wert abzüglich nun fehlende Kreditermächtigung von 60 Mrd. €.</t>
        </r>
      </text>
    </comment>
    <comment ref="D12" authorId="0" shapeId="0" xr:uid="{356FE6A9-4111-4DAC-8712-093B78693A86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Urspr. Wert abzüglich nun fehlende Kreditermächtigung von 60 Mrd. €.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G11" authorId="0" shapeId="0" xr:uid="{529AD2B5-3894-4C25-AEE8-C11A9622D607}">
      <text>
        <r>
          <rPr>
            <b/>
            <sz val="9"/>
            <color indexed="81"/>
            <rFont val="Segoe UI"/>
            <family val="2"/>
          </rPr>
          <t>AW:</t>
        </r>
        <r>
          <rPr>
            <sz val="9"/>
            <color indexed="81"/>
            <rFont val="Segoe UI"/>
            <family val="2"/>
          </rPr>
          <t xml:space="preserve">
Siehe zur Zusammensetzung entsprechendes Register.</t>
        </r>
      </text>
    </comment>
  </commentList>
</comments>
</file>

<file path=xl/sharedStrings.xml><?xml version="1.0" encoding="utf-8"?>
<sst xmlns="http://schemas.openxmlformats.org/spreadsheetml/2006/main" count="459" uniqueCount="290">
  <si>
    <t>Ist</t>
  </si>
  <si>
    <t>Soll</t>
  </si>
  <si>
    <t>Entwurf</t>
  </si>
  <si>
    <t>Finanzplan</t>
  </si>
  <si>
    <t>Mrd. €</t>
  </si>
  <si>
    <t>Einnahmen</t>
  </si>
  <si>
    <t>CO2-Preis</t>
  </si>
  <si>
    <t>EU-ETS 1</t>
  </si>
  <si>
    <t>nEHS / EU-ETS 2</t>
  </si>
  <si>
    <t>Bundeszuschuss</t>
  </si>
  <si>
    <t>Kreditermächtigung</t>
  </si>
  <si>
    <t>2024 - 2027</t>
  </si>
  <si>
    <t>Ausgaben</t>
  </si>
  <si>
    <t>Jahressaldo (Einnahmen - Ausgaben)</t>
  </si>
  <si>
    <t>Globale Mehreinnahmen</t>
  </si>
  <si>
    <t>vollständiges Klimageld (ETS 1 + nEHS/ETS 2)</t>
  </si>
  <si>
    <t>Klimageld nEHS/ETS 2</t>
  </si>
  <si>
    <t>s.a. MCC-Paper zum KTF</t>
  </si>
  <si>
    <t>hier</t>
  </si>
  <si>
    <t>Die Finanzierung der Transformation: Klimafonds, Klimageld und Kernhaushalt</t>
  </si>
  <si>
    <t>Stand 1.3.24</t>
  </si>
  <si>
    <t>Stand vor BVerfG-Urteil</t>
  </si>
  <si>
    <t>?</t>
  </si>
  <si>
    <t>Durch einen geringen Mittelabfluss gegenüber den eingeplanten Mitteln, ergeben sich zusätzliche Spielräume:</t>
  </si>
  <si>
    <t>Siehe FÖS-Papier</t>
  </si>
  <si>
    <t>Mitteilung Bundestag zum Entwurf KTF 2025:</t>
  </si>
  <si>
    <t>https://www.bundestag.de/presse/hib/kurzmeldungen-1015396</t>
  </si>
  <si>
    <t>Förderung energieeffiziente Gebäude und Heizungen</t>
  </si>
  <si>
    <t>EEG-Differenzkosten</t>
  </si>
  <si>
    <t>Wirtschaftsplan 2024 KTF</t>
  </si>
  <si>
    <t>Förderung Mikroelektronik (Chipfabriken)</t>
  </si>
  <si>
    <t>Förderung Eisenbahninfrastruktur</t>
  </si>
  <si>
    <t>Förderung Wasserstoffwirtschaft</t>
  </si>
  <si>
    <t>Strompreiskompensation für Unternehmen</t>
  </si>
  <si>
    <t>Förderung Elektormobilität + Ladeinfrastruktur</t>
  </si>
  <si>
    <t>Förderung Energieeffizienz in Industrie und Gewerbe</t>
  </si>
  <si>
    <t>Transformation der Wärmenetze</t>
  </si>
  <si>
    <t>Sonstiges</t>
  </si>
  <si>
    <t>Gesamt</t>
  </si>
  <si>
    <t>Maßnahmen der Energieeffizienz und erneuerbarer Energien im Gebäudebereich</t>
  </si>
  <si>
    <t>Gebäude</t>
  </si>
  <si>
    <t>Zuschüsse zur Entlastung beim Strompreis</t>
  </si>
  <si>
    <t>Mikroelektronik für die Digitalisierung</t>
  </si>
  <si>
    <t>Mikroelektronik</t>
  </si>
  <si>
    <t>Zuschüsse an stromintensive Unternehmen zum Ausgleich von emissionshandelsbedingten Strompreiserhöhungen</t>
  </si>
  <si>
    <t>Strompreiskompensation</t>
  </si>
  <si>
    <t>Energieeffizienz in Industrie und Gewerbe</t>
  </si>
  <si>
    <t>Energieeffizienz Industrie/Gewerbe</t>
  </si>
  <si>
    <t>Dekarbonisierung der Industrie</t>
  </si>
  <si>
    <t>Dekarbonisierung Industrie</t>
  </si>
  <si>
    <t>Wasserstoffeinsatz in der Industrieproduktion</t>
  </si>
  <si>
    <t>Wasserstoff Industrie</t>
  </si>
  <si>
    <t>Umsetzung der Nationalen Wasserstoffstrategie</t>
  </si>
  <si>
    <t>Wasserstoffstrategie</t>
  </si>
  <si>
    <t>Wäremnetze</t>
  </si>
  <si>
    <t>Zuschüsse zum Kauf elektrisch betriebener Fahrzeuge</t>
  </si>
  <si>
    <t>E-Autos</t>
  </si>
  <si>
    <t>Zuschüsse zur Errichtung von Tank- und Ladeinfrastruktur</t>
  </si>
  <si>
    <t>Ladeinfrastruktur</t>
  </si>
  <si>
    <t>Anschaffung von Nutzfahrzeugen mit alternativen, klimaschonenden Antrieben</t>
  </si>
  <si>
    <t>Nutzfahrzeuge</t>
  </si>
  <si>
    <t>Förderung des Ankaufs von Bussen mit alternativen Antrieben</t>
  </si>
  <si>
    <t>Busse</t>
  </si>
  <si>
    <t>Globale Minderausgaben</t>
  </si>
  <si>
    <t>Quelle:</t>
  </si>
  <si>
    <t>Jahr</t>
  </si>
  <si>
    <t>Quelle</t>
  </si>
  <si>
    <t>Lohnsteuer</t>
  </si>
  <si>
    <t>Veranlagte Einkommensteuer</t>
  </si>
  <si>
    <t>Nicht veranlagte Steuern vom Ertrag u. Abg.st.</t>
  </si>
  <si>
    <t>Körperschaftsteuer</t>
  </si>
  <si>
    <t>Gesamteinnahmen</t>
  </si>
  <si>
    <r>
      <rPr>
        <b/>
        <sz val="9"/>
        <color theme="1"/>
        <rFont val="Calibri"/>
        <family val="2"/>
      </rPr>
      <t xml:space="preserve">≈ </t>
    </r>
    <r>
      <rPr>
        <b/>
        <sz val="11"/>
        <color theme="1"/>
        <rFont val="Calibri"/>
        <family val="2"/>
      </rPr>
      <t>EEG-Soli (Ergänzungsabgabe)</t>
    </r>
  </si>
  <si>
    <t>Beispiel Durchschnittssteuersatz vor dem Soli</t>
  </si>
  <si>
    <t>Durchschnittssteuersatz einschl. EEG-Soli</t>
  </si>
  <si>
    <t>Ausführliches Paper Umsetzung und Finanzierung Klimageld:</t>
  </si>
  <si>
    <t>zenodo</t>
  </si>
  <si>
    <t>Andreas Wolfsteiner</t>
  </si>
  <si>
    <t>www.klima-retten.info</t>
  </si>
  <si>
    <t>klima-retten@email.de</t>
  </si>
  <si>
    <t>Ausgaben KTF Stand 19.08.2024 (Mrd. €)</t>
  </si>
  <si>
    <t>Vorschlag EEG-Soli</t>
  </si>
  <si>
    <t>Kontostand 31.12.</t>
  </si>
  <si>
    <t>Gesamt ("geplante" Ausgaben)</t>
  </si>
  <si>
    <t>Gesamt ohne EEG</t>
  </si>
  <si>
    <t>Veränd.</t>
  </si>
  <si>
    <t>Geplante Ausgaben lt. Finanzplan</t>
  </si>
  <si>
    <t>Stand 2023</t>
  </si>
  <si>
    <t>Geplante Ausgaben lt. Finanzplan ohne EEG</t>
  </si>
  <si>
    <t>Kürzung demgegenüber</t>
  </si>
  <si>
    <t>Prognostizierte EEG-Differenzkosten 2024</t>
  </si>
  <si>
    <t>Jetzt geplant ohne EEG</t>
  </si>
  <si>
    <t>Stand nach Verabschiedung BH24</t>
  </si>
  <si>
    <t>Klima- und Transformationsfonds (KTF) vor dem BVerfG-Urteil (Stand: Herbst 2023)</t>
  </si>
  <si>
    <t>Ausgaben Klima- und Transformationsfonds 2024 (in Mrd. € / Stand: Herbst 2023)</t>
  </si>
  <si>
    <t>Klima- und Transformationsfonds (KTF) nach dem BVerfG-Urteil (Stand: Dezember 2023)</t>
  </si>
  <si>
    <t>Gesamt ohne: EEG u. Globale Minderausgaben</t>
  </si>
  <si>
    <t>https://www.klimareporter.de/images/dokumente/2024/08/20240816-kabinettsvorlage-hh-2025.pdf</t>
  </si>
  <si>
    <t>Kabinettsvorlage "Entwuf Wirtschaftsplan":</t>
  </si>
  <si>
    <t>Globale Mehrausgaben</t>
  </si>
  <si>
    <t xml:space="preserve">Stand: </t>
  </si>
  <si>
    <t>19.08.2024</t>
  </si>
  <si>
    <t>Kontostand 1.1.</t>
  </si>
  <si>
    <t>Info: geplante Ausgaben vor BVerfG-Urteil</t>
  </si>
  <si>
    <t>Bürger in Mill.</t>
  </si>
  <si>
    <t>Einnahmen EU-ETS 1 in Mrd. €</t>
  </si>
  <si>
    <t>Einnahmen nEHS bzw. EU-ETS 2 in Mrd. €</t>
  </si>
  <si>
    <t>Klimageld pro Kopf im Jahr</t>
  </si>
  <si>
    <t>Tatsächliche Programmausgaben ohne EEG</t>
  </si>
  <si>
    <t>Geplante Programmausgaben vor BVerG ohne EEG</t>
  </si>
  <si>
    <t>KTF nach Verabschiedung des Bundeshaushalts 2024</t>
  </si>
  <si>
    <r>
      <t>Programmausgaben</t>
    </r>
    <r>
      <rPr>
        <sz val="11"/>
        <color rgb="FF000000"/>
        <rFont val="Calibri"/>
        <family val="2"/>
      </rPr>
      <t xml:space="preserve"> (ab 2025 ohne EEG)</t>
    </r>
  </si>
  <si>
    <t>Plan</t>
  </si>
  <si>
    <t>nur nEHS/ETS 2</t>
  </si>
  <si>
    <t>Kab.vorlage 16.08.2024</t>
  </si>
  <si>
    <t>Entnahme Rücklage</t>
  </si>
  <si>
    <t>Klima- und Transformationsfonds (KTF) nach 1. Entwurf Bundeshaushalt 2025</t>
  </si>
  <si>
    <t>https://klima-retten.info/PDF/epl60_2EBH25.pdf</t>
  </si>
  <si>
    <t>2. Entwurf Bundeshaushalt 2025 KTF:</t>
  </si>
  <si>
    <t>683 01</t>
  </si>
  <si>
    <t>Ausgleich der Gasspeicherumlage</t>
  </si>
  <si>
    <t>683 03</t>
  </si>
  <si>
    <t>686 08</t>
  </si>
  <si>
    <t>686 31</t>
  </si>
  <si>
    <t>Maßnahmen zum Natürlichen Klimaschutz</t>
  </si>
  <si>
    <t>697 01</t>
  </si>
  <si>
    <t>Ausgleichszahlungen für Betreiber von Kohlekraftwerken</t>
  </si>
  <si>
    <t>697 02</t>
  </si>
  <si>
    <t>Finanzielle Kompensationen nach § 11 BEHG</t>
  </si>
  <si>
    <t>891 03</t>
  </si>
  <si>
    <t>Sanierung kommunaler Einrichtungen in den Bereichen Sport, Jugend und Kultur</t>
  </si>
  <si>
    <t>892 01</t>
  </si>
  <si>
    <t>892 02</t>
  </si>
  <si>
    <t>892 03</t>
  </si>
  <si>
    <t>892 05</t>
  </si>
  <si>
    <t>Wasserstoff- und Brennstoffzellenanwendungen im Verkehr</t>
  </si>
  <si>
    <t>892 07</t>
  </si>
  <si>
    <t>DEU-FRA-Projekte IPCEI Wasserstoff</t>
  </si>
  <si>
    <t>892 10</t>
  </si>
  <si>
    <t xml:space="preserve">Mikroelektronik für die Digitalisierung </t>
  </si>
  <si>
    <t>893 01</t>
  </si>
  <si>
    <t>893 02</t>
  </si>
  <si>
    <t>893 03</t>
  </si>
  <si>
    <t>Transformation Wärmenetze</t>
  </si>
  <si>
    <t>893 04</t>
  </si>
  <si>
    <t>Industrielle Fertigung für mobile und stationäre Energiespeicher</t>
  </si>
  <si>
    <t>893 08</t>
  </si>
  <si>
    <t>Zuschüsse für die Anschaffung von Nutzfahrzeugen mit alternativen, klimaschonenden Antrieben</t>
  </si>
  <si>
    <t>893 09</t>
  </si>
  <si>
    <t xml:space="preserve">Förderung des Ankaufs von Bussen mit alternativen Antrieben </t>
  </si>
  <si>
    <t>893 10</t>
  </si>
  <si>
    <t>Förderung von Maßnahmen der Energieeffizienz und erneuerbarer Energien im Gebäudebereich</t>
  </si>
  <si>
    <t>896 01</t>
  </si>
  <si>
    <t>Wasserstoffstrategie Außenwirtschaft - Internationale Kooperation Wasserstoff</t>
  </si>
  <si>
    <t>896 02</t>
  </si>
  <si>
    <t xml:space="preserve">Investitionen zum Schutz des Klimas und der Biodiversität im Ausland </t>
  </si>
  <si>
    <t>896 03</t>
  </si>
  <si>
    <t xml:space="preserve">Internationale Transformation </t>
  </si>
  <si>
    <t>919 01</t>
  </si>
  <si>
    <t>Zuführung an Rücklage</t>
  </si>
  <si>
    <t>972 01</t>
  </si>
  <si>
    <t>Globale Minderausgabe</t>
  </si>
  <si>
    <t>683 07</t>
  </si>
  <si>
    <t>893 15</t>
  </si>
  <si>
    <t>Klimafreundlicher Neubau ("Klimafreundliches Bauen", "Gewerbe zu Wohnen")</t>
  </si>
  <si>
    <t>Summe</t>
  </si>
  <si>
    <t xml:space="preserve">Zuweisungen und Zuschüsse </t>
  </si>
  <si>
    <t>Ausgaben für Investitionen</t>
  </si>
  <si>
    <t>Gegenüber dem Vorjahr entfallene Titel (größere Posten)</t>
  </si>
  <si>
    <t>Anteil 2025</t>
  </si>
  <si>
    <t>Titel</t>
  </si>
  <si>
    <t>Besondere Finanzierungsausgaben</t>
  </si>
  <si>
    <t>334 01</t>
  </si>
  <si>
    <t>359 01</t>
  </si>
  <si>
    <t>Entnahme aus Rücklage</t>
  </si>
  <si>
    <t>Übrige Einnahmen</t>
  </si>
  <si>
    <t>Zuweisungen aus dem Sondervermögen Infrastruktur und Klimaneutralität (SVIK)</t>
  </si>
  <si>
    <t>Sonstige Titel</t>
  </si>
  <si>
    <t>Gasspeicherumlage</t>
  </si>
  <si>
    <t>Wasserstoff</t>
  </si>
  <si>
    <t>Chip-Fabriken</t>
  </si>
  <si>
    <t>Mobilität</t>
  </si>
  <si>
    <t>Zuweisung Sondervermögen-IK</t>
  </si>
  <si>
    <t>Mehrausgaben gegenüber 1. Entwurf</t>
  </si>
  <si>
    <t>Weitere Titel zur Info</t>
  </si>
  <si>
    <t>Gruppierung</t>
  </si>
  <si>
    <t>Zuschüsse zur Entlastung beim Strompreis (EEG-Differenzkosten)</t>
  </si>
  <si>
    <t>Ursprünglich eingeplant</t>
  </si>
  <si>
    <t>Tatsächliche Kosten (Quellen differieren leicht)</t>
  </si>
  <si>
    <t>EEG-Differenzkosten 2024</t>
  </si>
  <si>
    <t>Mehrkosten</t>
  </si>
  <si>
    <t>Verwaltungseinnahmen</t>
  </si>
  <si>
    <t>Zuweisungen und Zuschüsse (ohne Investitionen).</t>
  </si>
  <si>
    <t>Gesamtausgaben</t>
  </si>
  <si>
    <t>Laut Haushaltsplan</t>
  </si>
  <si>
    <t>neu</t>
  </si>
  <si>
    <t>Geringere Einnahmen ETS</t>
  </si>
  <si>
    <t>Summe ohne EEG-Differenzkosten</t>
  </si>
  <si>
    <t>Veränderung 2025 gegenüber 2024</t>
  </si>
  <si>
    <t>Ausgaben 2025 ohne Gasspeicherumlage</t>
  </si>
  <si>
    <t>Veränderung 2025 gegenüber 2024 ohne EEG</t>
  </si>
  <si>
    <t>Mehrkosten EEG-Differenzkosten</t>
  </si>
  <si>
    <t>Einnahmen/Ausgaben</t>
  </si>
  <si>
    <t>Soll-Ausgaben ohne EEG-Differenzkosten</t>
  </si>
  <si>
    <t>Soll-Ausgaben 2025</t>
  </si>
  <si>
    <t>Gesamtausgaben mit Ist-EEG-Differenzkosten</t>
  </si>
  <si>
    <t>Soll-Ausgaben 2024</t>
  </si>
  <si>
    <t>Soll-EEG-Differenzkosten</t>
  </si>
  <si>
    <t>Soll-Ausgaben 2025 1. Entwurf BH25 (8/24)</t>
  </si>
  <si>
    <t>Gesamteinnahmen ETS auf Ist korrigiert</t>
  </si>
  <si>
    <t>Differenz: Deckung durch geringeren Mittelablfuss, Wegfall Intel etc.</t>
  </si>
  <si>
    <t>Klima- und Transformationsfonds (KTF) nach 2. Entwurf Bundeshaushalt 2025 / 1. Entwurf Bundeshaushalt 2026</t>
  </si>
  <si>
    <t>Zuführung Rücklage</t>
  </si>
  <si>
    <t>Programmausgaben</t>
  </si>
  <si>
    <t>Kabinettsvorlage Entwurf Haushalt 2026 vom 28.07.2025</t>
  </si>
  <si>
    <t xml:space="preserve">Klimaschutz im Gebäudebereich </t>
  </si>
  <si>
    <t xml:space="preserve">Entlastungen bei Energiekosten </t>
  </si>
  <si>
    <t xml:space="preserve">Klimafreundliche Mobilität </t>
  </si>
  <si>
    <t xml:space="preserve">Hochlauf Wasserstoffwirtschaft </t>
  </si>
  <si>
    <t xml:space="preserve">Transformation der Industrie </t>
  </si>
  <si>
    <t>Klimafreundliche Energieversorgung</t>
  </si>
  <si>
    <t>Natürlicher Klimaschutz und Klimaanpassung</t>
  </si>
  <si>
    <t>Internationaler Klimaschutz</t>
  </si>
  <si>
    <t xml:space="preserve">Sonstige Klimaschutzmaßnahmen </t>
  </si>
  <si>
    <t>Kabinettsvorlage 28.07.2025</t>
  </si>
  <si>
    <t>683 02</t>
  </si>
  <si>
    <t>Energieforschung</t>
  </si>
  <si>
    <t>683 04</t>
  </si>
  <si>
    <t>Maßnahmen zur Weiterentwicklung der Elektromobilität</t>
  </si>
  <si>
    <t>683 05</t>
  </si>
  <si>
    <t>Klimaneutrales Fliegen</t>
  </si>
  <si>
    <t>683 06</t>
  </si>
  <si>
    <t>Industriestrompreis zur Entlastung des Strompreises energieintensiver Unternehmen</t>
  </si>
  <si>
    <t>683 09</t>
  </si>
  <si>
    <t>Zuschuss zu den Übertragungsnetzkosten</t>
  </si>
  <si>
    <t>683 12</t>
  </si>
  <si>
    <t>Batterieforschung</t>
  </si>
  <si>
    <t>685 03</t>
  </si>
  <si>
    <t>Anpassung urbaner und ländlicher Räume an den Klimawandel</t>
  </si>
  <si>
    <t>685 04</t>
  </si>
  <si>
    <t>Energieforschung und Energietechnologien</t>
  </si>
  <si>
    <t>686 05</t>
  </si>
  <si>
    <t>Nationale Klimaschutzinitiative</t>
  </si>
  <si>
    <t>686 13</t>
  </si>
  <si>
    <t>Programme und Maßnahmen der Energiewende</t>
  </si>
  <si>
    <t>686 14</t>
  </si>
  <si>
    <t>Beratung Energieeffizienz</t>
  </si>
  <si>
    <t>686 16</t>
  </si>
  <si>
    <t>Umsetzung der Carbon Management Strategie</t>
  </si>
  <si>
    <t>882 03</t>
  </si>
  <si>
    <t>Finanzhilfen an die Länder für Investitionen in den Radverkehr durch das Sonderprogramm "Stadt und Land"</t>
  </si>
  <si>
    <t>892 04</t>
  </si>
  <si>
    <t>Förderung von Erzeugungsanlagen für erneuerbare Kraftstoffe und Antriebstechnologien für die Luft- sowie Schifffahrt</t>
  </si>
  <si>
    <t>892 11</t>
  </si>
  <si>
    <t>Negativemissionen</t>
  </si>
  <si>
    <t>892 13</t>
  </si>
  <si>
    <t>Veränderung
25 vs. Soll 24</t>
  </si>
  <si>
    <t>Entlastung Wirtschaft</t>
  </si>
  <si>
    <t>Defossilisierung Wirtschaft</t>
  </si>
  <si>
    <t>Download</t>
  </si>
  <si>
    <t>Ausgaben KTF</t>
  </si>
  <si>
    <t>Klimageld / Klimadividende</t>
  </si>
  <si>
    <t>Tool zur Berechnung eines EU-Klimageldes mit Solidaritätsmechanismus:</t>
  </si>
  <si>
    <t>http://EU-Klimadividende.klima-retten.info</t>
  </si>
  <si>
    <t>Md. €</t>
  </si>
  <si>
    <t>Veränderung Ausgaben ggenüber 2024</t>
  </si>
  <si>
    <t>Saldo</t>
  </si>
  <si>
    <t>Wenn grundsätzlich für die EEG-Differenzkosten eine alternative Finanzierung gefunden werden kann, dann macht dies aus der Sicht des Gesamthaushaltes ein vollständiges Klimageld leichter finanzierbar.</t>
  </si>
  <si>
    <t>Einnahmen CO2-Bepreisung</t>
  </si>
  <si>
    <t>25 vs. Soll24</t>
  </si>
  <si>
    <t>25 vs. Ist24</t>
  </si>
  <si>
    <t>Ist-Einnahmen ETS 1 und nEHS 2025:</t>
  </si>
  <si>
    <t>lt. UBA</t>
  </si>
  <si>
    <t>44..6</t>
  </si>
  <si>
    <t>Pogrammausgaben Eckwerte BH27 4/26</t>
  </si>
  <si>
    <t>Deutschland indirekt zurechenbare Einnahmen 2025</t>
  </si>
  <si>
    <t>Einnahmen EU-ETS 1 EU gesamt</t>
  </si>
  <si>
    <t>EU-weit direkt an Mitgliedstaaten</t>
  </si>
  <si>
    <t>direkt an Deutschland</t>
  </si>
  <si>
    <t>Anteil Deutschland direkt</t>
  </si>
  <si>
    <t>Einnahmen, die auf EU-Ebene verbleiben</t>
  </si>
  <si>
    <t>davon Deutschland zurechenbar</t>
  </si>
  <si>
    <t>EU-ETS 1 Deutschland zurechenbar</t>
  </si>
  <si>
    <t>Öffentliche Einnahmen CO₂-Bepreisung</t>
  </si>
  <si>
    <t xml:space="preserve"> ETS 1 direkt + nEHS/ETS 2</t>
  </si>
  <si>
    <t>Aufschlag auf die Einkommen- und Körperschaftsteuer</t>
  </si>
  <si>
    <t>Mit der Marktintegration EE-Stroms würde der EEG-Soli von selbst auslaufen.</t>
  </si>
  <si>
    <t>öffentliche Einnahmen gesamt</t>
  </si>
  <si>
    <t>verwendete Einnahmen</t>
  </si>
  <si>
    <t>Einnahmen Deutschland CO₂-Bepreisung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</si>
</sst>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\ [$€-1]"/>
    <numFmt numFmtId="166" formatCode="0.0%"/>
    <numFmt numFmtId="167" formatCode="#,##0\ &quot;€&quot;"/>
    <numFmt numFmtId="168" formatCode="#,##0.0"/>
  </numFmts>
  <fonts count="8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rgb="FF0000FF"/>
      <name val="Calibri"/>
      <family val="2"/>
    </font>
    <font>
      <i/>
      <sz val="11"/>
      <color rgb="FF000000"/>
      <name val="Calibri"/>
      <family val="2"/>
    </font>
    <font>
      <i/>
      <u/>
      <sz val="11"/>
      <color rgb="FF0000FF"/>
      <name val="Calibri"/>
      <family val="2"/>
    </font>
    <font>
      <b/>
      <i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10"/>
      <color theme="1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rgb="FF0000FF"/>
      <name val="Arial"/>
      <family val="2"/>
    </font>
    <font>
      <u/>
      <sz val="11"/>
      <color rgb="FF0563C1"/>
      <name val="Calibri"/>
      <family val="2"/>
      <scheme val="minor"/>
    </font>
    <font>
      <u/>
      <sz val="11"/>
      <color rgb="FF0563C1"/>
      <name val="Calibri"/>
      <family val="2"/>
    </font>
    <font>
      <b/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ajor"/>
    </font>
    <font>
      <sz val="11"/>
      <color rgb="FF000000"/>
      <name val="Calibri"/>
      <family val="2"/>
      <scheme val="minor"/>
    </font>
    <font>
      <sz val="10"/>
      <color theme="1"/>
      <name val="Arial Unicode MS"/>
      <family val="2"/>
    </font>
    <font>
      <i/>
      <sz val="10"/>
      <color theme="1"/>
      <name val="Arial Unicode MS"/>
      <family val="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name val="Calibri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63" fillId="0" borderId="0" applyNumberFormat="0" applyFill="0" applyBorder="0" applyAlignment="0" applyProtection="0"/>
    <xf numFmtId="9" fontId="68" fillId="0" borderId="0" applyFont="0" applyFill="0" applyBorder="0" applyAlignment="0" applyProtection="0"/>
  </cellStyleXfs>
  <cellXfs count="614">
    <xf numFmtId="0" fontId="0" fillId="0" borderId="0" xfId="0"/>
    <xf numFmtId="0" fontId="38" fillId="0" borderId="6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41" fillId="0" borderId="13" xfId="0" applyFont="1" applyBorder="1" applyAlignment="1">
      <alignment horizontal="right"/>
    </xf>
    <xf numFmtId="0" fontId="42" fillId="0" borderId="9" xfId="0" applyFont="1" applyBorder="1"/>
    <xf numFmtId="164" fontId="42" fillId="0" borderId="9" xfId="0" applyNumberFormat="1" applyFont="1" applyBorder="1"/>
    <xf numFmtId="0" fontId="38" fillId="0" borderId="5" xfId="0" applyFont="1" applyBorder="1"/>
    <xf numFmtId="0" fontId="40" fillId="0" borderId="5" xfId="0" applyFont="1" applyBorder="1"/>
    <xf numFmtId="0" fontId="44" fillId="0" borderId="0" xfId="0" applyFont="1" applyAlignment="1">
      <alignment horizontal="center"/>
    </xf>
    <xf numFmtId="0" fontId="44" fillId="0" borderId="9" xfId="0" applyFont="1" applyBorder="1" applyAlignment="1">
      <alignment horizontal="center"/>
    </xf>
    <xf numFmtId="165" fontId="44" fillId="0" borderId="10" xfId="0" applyNumberFormat="1" applyFont="1" applyBorder="1" applyAlignment="1">
      <alignment horizontal="center"/>
    </xf>
    <xf numFmtId="165" fontId="44" fillId="0" borderId="11" xfId="0" applyNumberFormat="1" applyFont="1" applyBorder="1" applyAlignment="1">
      <alignment horizontal="center"/>
    </xf>
    <xf numFmtId="165" fontId="44" fillId="0" borderId="12" xfId="0" applyNumberFormat="1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44" fillId="0" borderId="11" xfId="0" applyFont="1" applyBorder="1" applyAlignment="1">
      <alignment horizontal="center"/>
    </xf>
    <xf numFmtId="165" fontId="42" fillId="0" borderId="10" xfId="0" applyNumberFormat="1" applyFont="1" applyBorder="1" applyAlignment="1">
      <alignment horizontal="center"/>
    </xf>
    <xf numFmtId="165" fontId="42" fillId="0" borderId="12" xfId="0" applyNumberFormat="1" applyFont="1" applyBorder="1" applyAlignment="1">
      <alignment horizontal="center"/>
    </xf>
    <xf numFmtId="165" fontId="42" fillId="0" borderId="11" xfId="0" applyNumberFormat="1" applyFont="1" applyBorder="1" applyAlignment="1">
      <alignment horizontal="center"/>
    </xf>
    <xf numFmtId="0" fontId="42" fillId="0" borderId="0" xfId="0" applyFont="1"/>
    <xf numFmtId="0" fontId="45" fillId="0" borderId="0" xfId="0" applyFont="1" applyAlignment="1">
      <alignment horizontal="center"/>
    </xf>
    <xf numFmtId="0" fontId="46" fillId="0" borderId="1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47" fillId="0" borderId="13" xfId="0" applyFont="1" applyBorder="1" applyAlignment="1">
      <alignment horizontal="center"/>
    </xf>
    <xf numFmtId="164" fontId="43" fillId="0" borderId="0" xfId="0" applyNumberFormat="1" applyFont="1" applyAlignment="1">
      <alignment horizontal="right"/>
    </xf>
    <xf numFmtId="0" fontId="50" fillId="0" borderId="9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165" fontId="44" fillId="0" borderId="9" xfId="0" applyNumberFormat="1" applyFont="1" applyBorder="1" applyAlignment="1">
      <alignment horizontal="center"/>
    </xf>
    <xf numFmtId="165" fontId="42" fillId="0" borderId="9" xfId="0" applyNumberFormat="1" applyFont="1" applyBorder="1" applyAlignment="1">
      <alignment horizontal="center"/>
    </xf>
    <xf numFmtId="0" fontId="52" fillId="0" borderId="0" xfId="0" applyFont="1"/>
    <xf numFmtId="0" fontId="41" fillId="0" borderId="9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0" fontId="40" fillId="0" borderId="0" xfId="0" applyFont="1"/>
    <xf numFmtId="0" fontId="38" fillId="0" borderId="0" xfId="0" applyFont="1"/>
    <xf numFmtId="0" fontId="38" fillId="0" borderId="0" xfId="0" applyFont="1" applyAlignment="1">
      <alignment horizontal="right"/>
    </xf>
    <xf numFmtId="0" fontId="55" fillId="0" borderId="0" xfId="0" applyFont="1"/>
    <xf numFmtId="0" fontId="43" fillId="0" borderId="0" xfId="0" applyFont="1"/>
    <xf numFmtId="0" fontId="44" fillId="0" borderId="0" xfId="0" applyFont="1"/>
    <xf numFmtId="164" fontId="42" fillId="0" borderId="0" xfId="0" applyNumberFormat="1" applyFont="1"/>
    <xf numFmtId="0" fontId="56" fillId="0" borderId="0" xfId="0" applyFont="1"/>
    <xf numFmtId="0" fontId="57" fillId="0" borderId="0" xfId="0" applyFont="1"/>
    <xf numFmtId="0" fontId="43" fillId="0" borderId="3" xfId="0" applyFont="1" applyBorder="1"/>
    <xf numFmtId="0" fontId="43" fillId="0" borderId="0" xfId="0" applyFont="1" applyAlignment="1">
      <alignment horizontal="center"/>
    </xf>
    <xf numFmtId="0" fontId="43" fillId="0" borderId="11" xfId="0" applyFont="1" applyBorder="1"/>
    <xf numFmtId="0" fontId="43" fillId="0" borderId="12" xfId="0" applyFont="1" applyBorder="1"/>
    <xf numFmtId="0" fontId="58" fillId="0" borderId="0" xfId="0" applyFont="1"/>
    <xf numFmtId="1" fontId="58" fillId="0" borderId="0" xfId="0" applyNumberFormat="1" applyFont="1"/>
    <xf numFmtId="0" fontId="43" fillId="0" borderId="14" xfId="0" applyFont="1" applyBorder="1"/>
    <xf numFmtId="3" fontId="42" fillId="0" borderId="0" xfId="0" applyNumberFormat="1" applyFont="1"/>
    <xf numFmtId="0" fontId="43" fillId="0" borderId="15" xfId="0" applyFont="1" applyBorder="1"/>
    <xf numFmtId="1" fontId="42" fillId="0" borderId="0" xfId="0" applyNumberFormat="1" applyFont="1"/>
    <xf numFmtId="3" fontId="43" fillId="0" borderId="10" xfId="0" applyNumberFormat="1" applyFont="1" applyBorder="1"/>
    <xf numFmtId="0" fontId="58" fillId="0" borderId="11" xfId="0" applyFont="1" applyBorder="1"/>
    <xf numFmtId="166" fontId="58" fillId="0" borderId="10" xfId="0" applyNumberFormat="1" applyFont="1" applyBorder="1"/>
    <xf numFmtId="0" fontId="58" fillId="0" borderId="12" xfId="0" applyFont="1" applyBorder="1"/>
    <xf numFmtId="0" fontId="43" fillId="0" borderId="11" xfId="0" applyFont="1" applyBorder="1" applyAlignment="1">
      <alignment wrapText="1"/>
    </xf>
    <xf numFmtId="10" fontId="43" fillId="0" borderId="10" xfId="0" applyNumberFormat="1" applyFont="1" applyBorder="1" applyAlignment="1">
      <alignment vertical="center"/>
    </xf>
    <xf numFmtId="166" fontId="58" fillId="0" borderId="0" xfId="0" applyNumberFormat="1" applyFont="1"/>
    <xf numFmtId="0" fontId="63" fillId="0" borderId="0" xfId="1"/>
    <xf numFmtId="0" fontId="67" fillId="0" borderId="5" xfId="0" applyFont="1" applyBorder="1"/>
    <xf numFmtId="165" fontId="44" fillId="0" borderId="16" xfId="0" applyNumberFormat="1" applyFont="1" applyBorder="1" applyAlignment="1">
      <alignment horizontal="center"/>
    </xf>
    <xf numFmtId="165" fontId="42" fillId="0" borderId="16" xfId="0" applyNumberFormat="1" applyFont="1" applyBorder="1" applyAlignment="1">
      <alignment horizontal="center"/>
    </xf>
    <xf numFmtId="164" fontId="44" fillId="0" borderId="0" xfId="0" applyNumberFormat="1" applyFont="1"/>
    <xf numFmtId="0" fontId="37" fillId="0" borderId="0" xfId="0" applyFont="1" applyAlignment="1">
      <alignment horizontal="center"/>
    </xf>
    <xf numFmtId="0" fontId="40" fillId="0" borderId="9" xfId="0" applyFont="1" applyBorder="1" applyAlignment="1">
      <alignment horizontal="center"/>
    </xf>
    <xf numFmtId="0" fontId="37" fillId="0" borderId="0" xfId="0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center" wrapText="1"/>
    </xf>
    <xf numFmtId="0" fontId="36" fillId="0" borderId="23" xfId="0" applyFont="1" applyBorder="1"/>
    <xf numFmtId="0" fontId="36" fillId="0" borderId="0" xfId="0" applyFont="1" applyAlignment="1">
      <alignment horizontal="left"/>
    </xf>
    <xf numFmtId="164" fontId="4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2" fillId="0" borderId="0" xfId="0" applyFont="1" applyAlignment="1">
      <alignment horizontal="center"/>
    </xf>
    <xf numFmtId="164" fontId="44" fillId="0" borderId="0" xfId="0" applyNumberFormat="1" applyFont="1" applyAlignment="1">
      <alignment horizontal="center"/>
    </xf>
    <xf numFmtId="164" fontId="42" fillId="0" borderId="23" xfId="0" applyNumberFormat="1" applyFont="1" applyBorder="1" applyAlignment="1">
      <alignment horizontal="center"/>
    </xf>
    <xf numFmtId="0" fontId="0" fillId="0" borderId="25" xfId="0" applyBorder="1"/>
    <xf numFmtId="0" fontId="43" fillId="0" borderId="32" xfId="0" applyFont="1" applyBorder="1"/>
    <xf numFmtId="0" fontId="35" fillId="0" borderId="0" xfId="0" applyFont="1"/>
    <xf numFmtId="0" fontId="34" fillId="0" borderId="0" xfId="0" applyFont="1" applyAlignment="1">
      <alignment horizontal="right"/>
    </xf>
    <xf numFmtId="164" fontId="0" fillId="0" borderId="23" xfId="0" applyNumberFormat="1" applyBorder="1" applyAlignment="1">
      <alignment horizontal="center"/>
    </xf>
    <xf numFmtId="9" fontId="0" fillId="0" borderId="0" xfId="2" applyFont="1" applyAlignment="1">
      <alignment horizontal="center"/>
    </xf>
    <xf numFmtId="9" fontId="0" fillId="0" borderId="0" xfId="2" applyFont="1" applyBorder="1" applyAlignment="1">
      <alignment horizontal="center"/>
    </xf>
    <xf numFmtId="0" fontId="37" fillId="0" borderId="0" xfId="0" applyFont="1" applyAlignment="1">
      <alignment wrapText="1"/>
    </xf>
    <xf numFmtId="164" fontId="42" fillId="0" borderId="25" xfId="0" applyNumberFormat="1" applyFont="1" applyBorder="1"/>
    <xf numFmtId="9" fontId="0" fillId="0" borderId="33" xfId="2" applyFont="1" applyBorder="1" applyAlignment="1">
      <alignment horizontal="center"/>
    </xf>
    <xf numFmtId="164" fontId="37" fillId="0" borderId="25" xfId="0" applyNumberFormat="1" applyFont="1" applyBorder="1"/>
    <xf numFmtId="0" fontId="42" fillId="0" borderId="25" xfId="0" applyFont="1" applyBorder="1"/>
    <xf numFmtId="0" fontId="42" fillId="0" borderId="34" xfId="0" applyFont="1" applyBorder="1"/>
    <xf numFmtId="9" fontId="0" fillId="0" borderId="35" xfId="2" applyFont="1" applyBorder="1" applyAlignment="1">
      <alignment horizontal="center"/>
    </xf>
    <xf numFmtId="0" fontId="44" fillId="0" borderId="25" xfId="0" applyFont="1" applyBorder="1"/>
    <xf numFmtId="9" fontId="44" fillId="0" borderId="33" xfId="2" applyFont="1" applyBorder="1" applyAlignment="1">
      <alignment horizontal="center"/>
    </xf>
    <xf numFmtId="164" fontId="42" fillId="0" borderId="25" xfId="0" applyNumberFormat="1" applyFont="1" applyBorder="1" applyAlignment="1">
      <alignment horizontal="center"/>
    </xf>
    <xf numFmtId="164" fontId="42" fillId="0" borderId="33" xfId="0" applyNumberFormat="1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33" xfId="0" applyFont="1" applyBorder="1" applyAlignment="1">
      <alignment horizontal="center"/>
    </xf>
    <xf numFmtId="164" fontId="42" fillId="0" borderId="34" xfId="0" applyNumberFormat="1" applyFont="1" applyBorder="1" applyAlignment="1">
      <alignment horizontal="center"/>
    </xf>
    <xf numFmtId="164" fontId="42" fillId="0" borderId="35" xfId="0" applyNumberFormat="1" applyFont="1" applyBorder="1" applyAlignment="1">
      <alignment horizontal="center"/>
    </xf>
    <xf numFmtId="164" fontId="44" fillId="0" borderId="25" xfId="0" applyNumberFormat="1" applyFont="1" applyBorder="1" applyAlignment="1">
      <alignment horizontal="center"/>
    </xf>
    <xf numFmtId="164" fontId="44" fillId="0" borderId="33" xfId="0" applyNumberFormat="1" applyFont="1" applyBorder="1" applyAlignment="1">
      <alignment horizontal="center"/>
    </xf>
    <xf numFmtId="0" fontId="34" fillId="0" borderId="17" xfId="0" applyFont="1" applyBorder="1" applyAlignment="1">
      <alignment horizontal="right"/>
    </xf>
    <xf numFmtId="0" fontId="42" fillId="0" borderId="17" xfId="0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0" fontId="44" fillId="0" borderId="17" xfId="0" applyFont="1" applyBorder="1"/>
    <xf numFmtId="164" fontId="44" fillId="0" borderId="17" xfId="0" applyNumberFormat="1" applyFont="1" applyBorder="1" applyAlignment="1">
      <alignment horizontal="center"/>
    </xf>
    <xf numFmtId="164" fontId="44" fillId="0" borderId="19" xfId="0" applyNumberFormat="1" applyFont="1" applyBorder="1" applyAlignment="1">
      <alignment horizontal="center"/>
    </xf>
    <xf numFmtId="164" fontId="44" fillId="0" borderId="18" xfId="0" applyNumberFormat="1" applyFont="1" applyBorder="1" applyAlignment="1">
      <alignment horizontal="center"/>
    </xf>
    <xf numFmtId="9" fontId="44" fillId="0" borderId="19" xfId="2" applyFont="1" applyBorder="1" applyAlignment="1">
      <alignment horizontal="center"/>
    </xf>
    <xf numFmtId="164" fontId="33" fillId="0" borderId="25" xfId="0" applyNumberFormat="1" applyFont="1" applyBorder="1" applyAlignment="1">
      <alignment horizontal="center"/>
    </xf>
    <xf numFmtId="164" fontId="33" fillId="0" borderId="33" xfId="0" applyNumberFormat="1" applyFont="1" applyBorder="1" applyAlignment="1">
      <alignment horizontal="center"/>
    </xf>
    <xf numFmtId="0" fontId="51" fillId="0" borderId="0" xfId="0" applyFont="1" applyAlignment="1">
      <alignment vertical="center" wrapText="1"/>
    </xf>
    <xf numFmtId="9" fontId="42" fillId="0" borderId="0" xfId="2" applyFont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14" xfId="0" applyFont="1" applyBorder="1"/>
    <xf numFmtId="0" fontId="38" fillId="0" borderId="7" xfId="0" applyFont="1" applyBorder="1"/>
    <xf numFmtId="0" fontId="32" fillId="0" borderId="0" xfId="0" applyFont="1"/>
    <xf numFmtId="164" fontId="41" fillId="2" borderId="15" xfId="0" applyNumberFormat="1" applyFont="1" applyFill="1" applyBorder="1" applyAlignment="1">
      <alignment horizontal="right"/>
    </xf>
    <xf numFmtId="164" fontId="41" fillId="2" borderId="14" xfId="0" applyNumberFormat="1" applyFont="1" applyFill="1" applyBorder="1" applyAlignment="1">
      <alignment horizontal="right"/>
    </xf>
    <xf numFmtId="164" fontId="40" fillId="0" borderId="12" xfId="0" applyNumberFormat="1" applyFont="1" applyBorder="1" applyAlignment="1">
      <alignment horizontal="center"/>
    </xf>
    <xf numFmtId="164" fontId="40" fillId="0" borderId="11" xfId="0" applyNumberFormat="1" applyFont="1" applyBorder="1" applyAlignment="1">
      <alignment horizontal="center"/>
    </xf>
    <xf numFmtId="164" fontId="38" fillId="0" borderId="15" xfId="0" applyNumberFormat="1" applyFont="1" applyBorder="1" applyAlignment="1">
      <alignment horizontal="center"/>
    </xf>
    <xf numFmtId="164" fontId="38" fillId="0" borderId="3" xfId="0" applyNumberFormat="1" applyFont="1" applyBorder="1" applyAlignment="1">
      <alignment horizontal="center"/>
    </xf>
    <xf numFmtId="164" fontId="38" fillId="2" borderId="0" xfId="0" applyNumberFormat="1" applyFont="1" applyFill="1" applyAlignment="1">
      <alignment horizontal="center"/>
    </xf>
    <xf numFmtId="164" fontId="38" fillId="2" borderId="7" xfId="0" applyNumberFormat="1" applyFont="1" applyFill="1" applyBorder="1" applyAlignment="1">
      <alignment horizontal="center"/>
    </xf>
    <xf numFmtId="164" fontId="40" fillId="0" borderId="3" xfId="0" applyNumberFormat="1" applyFont="1" applyBorder="1" applyAlignment="1">
      <alignment horizontal="center"/>
    </xf>
    <xf numFmtId="164" fontId="42" fillId="0" borderId="20" xfId="0" applyNumberFormat="1" applyFont="1" applyBorder="1" applyAlignment="1">
      <alignment horizontal="center"/>
    </xf>
    <xf numFmtId="164" fontId="38" fillId="0" borderId="21" xfId="0" applyNumberFormat="1" applyFont="1" applyBorder="1" applyAlignment="1">
      <alignment horizontal="center"/>
    </xf>
    <xf numFmtId="164" fontId="43" fillId="2" borderId="21" xfId="0" applyNumberFormat="1" applyFont="1" applyFill="1" applyBorder="1" applyAlignment="1">
      <alignment horizontal="center"/>
    </xf>
    <xf numFmtId="164" fontId="43" fillId="2" borderId="22" xfId="0" applyNumberFormat="1" applyFont="1" applyFill="1" applyBorder="1" applyAlignment="1">
      <alignment horizontal="center"/>
    </xf>
    <xf numFmtId="164" fontId="40" fillId="0" borderId="8" xfId="0" applyNumberFormat="1" applyFont="1" applyBorder="1" applyAlignment="1">
      <alignment horizontal="center"/>
    </xf>
    <xf numFmtId="164" fontId="40" fillId="2" borderId="3" xfId="0" applyNumberFormat="1" applyFont="1" applyFill="1" applyBorder="1" applyAlignment="1">
      <alignment horizontal="center"/>
    </xf>
    <xf numFmtId="0" fontId="32" fillId="0" borderId="37" xfId="0" applyFont="1" applyBorder="1" applyAlignment="1">
      <alignment horizontal="right" vertical="center"/>
    </xf>
    <xf numFmtId="164" fontId="43" fillId="2" borderId="0" xfId="0" applyNumberFormat="1" applyFont="1" applyFill="1" applyAlignment="1">
      <alignment horizontal="center"/>
    </xf>
    <xf numFmtId="164" fontId="38" fillId="0" borderId="0" xfId="0" applyNumberFormat="1" applyFont="1" applyAlignment="1">
      <alignment horizontal="center"/>
    </xf>
    <xf numFmtId="164" fontId="40" fillId="2" borderId="2" xfId="0" applyNumberFormat="1" applyFont="1" applyFill="1" applyBorder="1" applyAlignment="1">
      <alignment horizontal="center"/>
    </xf>
    <xf numFmtId="164" fontId="42" fillId="0" borderId="36" xfId="0" applyNumberFormat="1" applyFont="1" applyBorder="1" applyAlignment="1">
      <alignment horizontal="center"/>
    </xf>
    <xf numFmtId="164" fontId="42" fillId="0" borderId="27" xfId="0" applyNumberFormat="1" applyFont="1" applyBorder="1" applyAlignment="1">
      <alignment horizontal="center"/>
    </xf>
    <xf numFmtId="164" fontId="38" fillId="0" borderId="25" xfId="0" applyNumberFormat="1" applyFont="1" applyBorder="1" applyAlignment="1">
      <alignment horizontal="center"/>
    </xf>
    <xf numFmtId="164" fontId="38" fillId="0" borderId="33" xfId="0" applyNumberFormat="1" applyFont="1" applyBorder="1" applyAlignment="1">
      <alignment horizontal="center"/>
    </xf>
    <xf numFmtId="164" fontId="43" fillId="2" borderId="25" xfId="0" applyNumberFormat="1" applyFont="1" applyFill="1" applyBorder="1" applyAlignment="1">
      <alignment horizontal="center"/>
    </xf>
    <xf numFmtId="164" fontId="43" fillId="2" borderId="33" xfId="0" applyNumberFormat="1" applyFont="1" applyFill="1" applyBorder="1" applyAlignment="1">
      <alignment horizontal="center"/>
    </xf>
    <xf numFmtId="164" fontId="43" fillId="2" borderId="34" xfId="0" applyNumberFormat="1" applyFont="1" applyFill="1" applyBorder="1" applyAlignment="1">
      <alignment horizontal="center"/>
    </xf>
    <xf numFmtId="164" fontId="43" fillId="2" borderId="23" xfId="0" applyNumberFormat="1" applyFont="1" applyFill="1" applyBorder="1" applyAlignment="1">
      <alignment horizontal="center"/>
    </xf>
    <xf numFmtId="164" fontId="43" fillId="2" borderId="35" xfId="0" applyNumberFormat="1" applyFont="1" applyFill="1" applyBorder="1" applyAlignment="1">
      <alignment horizontal="center"/>
    </xf>
    <xf numFmtId="0" fontId="38" fillId="0" borderId="16" xfId="0" applyFont="1" applyBorder="1" applyAlignment="1">
      <alignment horizontal="center"/>
    </xf>
    <xf numFmtId="164" fontId="41" fillId="2" borderId="0" xfId="0" applyNumberFormat="1" applyFont="1" applyFill="1" applyAlignment="1">
      <alignment horizontal="right"/>
    </xf>
    <xf numFmtId="164" fontId="40" fillId="0" borderId="6" xfId="0" applyNumberFormat="1" applyFont="1" applyBorder="1" applyAlignment="1">
      <alignment horizontal="center"/>
    </xf>
    <xf numFmtId="164" fontId="40" fillId="0" borderId="2" xfId="0" applyNumberFormat="1" applyFont="1" applyBorder="1" applyAlignment="1">
      <alignment horizontal="center"/>
    </xf>
    <xf numFmtId="164" fontId="40" fillId="0" borderId="4" xfId="0" applyNumberFormat="1" applyFont="1" applyBorder="1" applyAlignment="1">
      <alignment horizontal="center"/>
    </xf>
    <xf numFmtId="164" fontId="40" fillId="2" borderId="14" xfId="0" applyNumberFormat="1" applyFont="1" applyFill="1" applyBorder="1" applyAlignment="1">
      <alignment horizontal="center"/>
    </xf>
    <xf numFmtId="164" fontId="40" fillId="2" borderId="0" xfId="0" applyNumberFormat="1" applyFont="1" applyFill="1" applyAlignment="1">
      <alignment horizontal="center"/>
    </xf>
    <xf numFmtId="164" fontId="38" fillId="0" borderId="26" xfId="0" applyNumberFormat="1" applyFont="1" applyBorder="1" applyAlignment="1">
      <alignment horizontal="center"/>
    </xf>
    <xf numFmtId="164" fontId="38" fillId="0" borderId="36" xfId="0" applyNumberFormat="1" applyFont="1" applyBorder="1" applyAlignment="1">
      <alignment horizontal="center"/>
    </xf>
    <xf numFmtId="164" fontId="38" fillId="0" borderId="27" xfId="0" applyNumberFormat="1" applyFont="1" applyBorder="1" applyAlignment="1">
      <alignment horizontal="center"/>
    </xf>
    <xf numFmtId="164" fontId="41" fillId="2" borderId="25" xfId="0" applyNumberFormat="1" applyFont="1" applyFill="1" applyBorder="1" applyAlignment="1">
      <alignment horizontal="right"/>
    </xf>
    <xf numFmtId="164" fontId="38" fillId="2" borderId="34" xfId="0" applyNumberFormat="1" applyFont="1" applyFill="1" applyBorder="1" applyAlignment="1">
      <alignment horizontal="center"/>
    </xf>
    <xf numFmtId="164" fontId="38" fillId="2" borderId="23" xfId="0" applyNumberFormat="1" applyFont="1" applyFill="1" applyBorder="1" applyAlignment="1">
      <alignment horizontal="center"/>
    </xf>
    <xf numFmtId="0" fontId="43" fillId="0" borderId="1" xfId="0" applyFont="1" applyBorder="1"/>
    <xf numFmtId="0" fontId="49" fillId="0" borderId="3" xfId="0" applyFont="1" applyBorder="1" applyAlignment="1">
      <alignment horizontal="right"/>
    </xf>
    <xf numFmtId="0" fontId="53" fillId="0" borderId="0" xfId="0" applyFont="1"/>
    <xf numFmtId="0" fontId="69" fillId="0" borderId="7" xfId="0" applyFont="1" applyBorder="1"/>
    <xf numFmtId="164" fontId="40" fillId="0" borderId="10" xfId="0" applyNumberFormat="1" applyFont="1" applyBorder="1" applyAlignment="1">
      <alignment horizontal="center"/>
    </xf>
    <xf numFmtId="164" fontId="38" fillId="0" borderId="2" xfId="0" applyNumberFormat="1" applyFont="1" applyBorder="1" applyAlignment="1">
      <alignment horizontal="center"/>
    </xf>
    <xf numFmtId="164" fontId="38" fillId="0" borderId="4" xfId="0" applyNumberFormat="1" applyFont="1" applyBorder="1" applyAlignment="1">
      <alignment horizontal="center"/>
    </xf>
    <xf numFmtId="164" fontId="38" fillId="2" borderId="6" xfId="0" applyNumberFormat="1" applyFont="1" applyFill="1" applyBorder="1" applyAlignment="1">
      <alignment horizontal="center"/>
    </xf>
    <xf numFmtId="164" fontId="38" fillId="2" borderId="8" xfId="0" applyNumberFormat="1" applyFont="1" applyFill="1" applyBorder="1" applyAlignment="1">
      <alignment horizontal="center"/>
    </xf>
    <xf numFmtId="164" fontId="40" fillId="2" borderId="10" xfId="0" applyNumberFormat="1" applyFont="1" applyFill="1" applyBorder="1" applyAlignment="1">
      <alignment horizontal="center"/>
    </xf>
    <xf numFmtId="164" fontId="40" fillId="2" borderId="7" xfId="0" applyNumberFormat="1" applyFont="1" applyFill="1" applyBorder="1" applyAlignment="1">
      <alignment horizontal="center"/>
    </xf>
    <xf numFmtId="164" fontId="40" fillId="2" borderId="6" xfId="0" applyNumberFormat="1" applyFont="1" applyFill="1" applyBorder="1" applyAlignment="1">
      <alignment horizontal="center"/>
    </xf>
    <xf numFmtId="164" fontId="40" fillId="2" borderId="8" xfId="0" applyNumberFormat="1" applyFont="1" applyFill="1" applyBorder="1" applyAlignment="1">
      <alignment horizontal="center"/>
    </xf>
    <xf numFmtId="164" fontId="49" fillId="0" borderId="1" xfId="0" applyNumberFormat="1" applyFont="1" applyBorder="1" applyAlignment="1">
      <alignment horizontal="center"/>
    </xf>
    <xf numFmtId="164" fontId="41" fillId="0" borderId="0" xfId="0" applyNumberFormat="1" applyFont="1" applyAlignment="1">
      <alignment horizontal="center"/>
    </xf>
    <xf numFmtId="164" fontId="41" fillId="0" borderId="15" xfId="0" applyNumberFormat="1" applyFont="1" applyBorder="1" applyAlignment="1">
      <alignment horizontal="center"/>
    </xf>
    <xf numFmtId="164" fontId="42" fillId="0" borderId="4" xfId="0" applyNumberFormat="1" applyFont="1" applyBorder="1" applyAlignment="1">
      <alignment horizontal="center"/>
    </xf>
    <xf numFmtId="164" fontId="42" fillId="0" borderId="3" xfId="0" applyNumberFormat="1" applyFont="1" applyBorder="1" applyAlignment="1">
      <alignment horizontal="center"/>
    </xf>
    <xf numFmtId="164" fontId="42" fillId="0" borderId="2" xfId="0" applyNumberFormat="1" applyFont="1" applyBorder="1" applyAlignment="1">
      <alignment horizontal="center"/>
    </xf>
    <xf numFmtId="164" fontId="38" fillId="0" borderId="14" xfId="0" applyNumberFormat="1" applyFont="1" applyBorder="1" applyAlignment="1">
      <alignment horizontal="center"/>
    </xf>
    <xf numFmtId="164" fontId="40" fillId="0" borderId="38" xfId="0" applyNumberFormat="1" applyFont="1" applyBorder="1" applyAlignment="1">
      <alignment horizontal="center"/>
    </xf>
    <xf numFmtId="164" fontId="40" fillId="0" borderId="39" xfId="0" applyNumberFormat="1" applyFont="1" applyBorder="1" applyAlignment="1">
      <alignment horizontal="center"/>
    </xf>
    <xf numFmtId="164" fontId="40" fillId="0" borderId="18" xfId="0" applyNumberFormat="1" applyFont="1" applyBorder="1" applyAlignment="1">
      <alignment horizontal="center"/>
    </xf>
    <xf numFmtId="164" fontId="40" fillId="0" borderId="19" xfId="0" applyNumberFormat="1" applyFont="1" applyBorder="1" applyAlignment="1">
      <alignment horizontal="center"/>
    </xf>
    <xf numFmtId="164" fontId="43" fillId="2" borderId="15" xfId="0" applyNumberFormat="1" applyFont="1" applyFill="1" applyBorder="1" applyAlignment="1">
      <alignment horizontal="center"/>
    </xf>
    <xf numFmtId="164" fontId="43" fillId="2" borderId="1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8" fillId="0" borderId="1" xfId="0" applyNumberFormat="1" applyFont="1" applyBorder="1" applyAlignment="1">
      <alignment horizontal="center"/>
    </xf>
    <xf numFmtId="164" fontId="46" fillId="0" borderId="1" xfId="0" applyNumberFormat="1" applyFont="1" applyBorder="1" applyAlignment="1">
      <alignment horizontal="center"/>
    </xf>
    <xf numFmtId="164" fontId="49" fillId="0" borderId="13" xfId="0" applyNumberFormat="1" applyFont="1" applyBorder="1" applyAlignment="1">
      <alignment horizontal="center"/>
    </xf>
    <xf numFmtId="164" fontId="46" fillId="0" borderId="13" xfId="0" applyNumberFormat="1" applyFont="1" applyBorder="1" applyAlignment="1">
      <alignment horizontal="center"/>
    </xf>
    <xf numFmtId="164" fontId="48" fillId="0" borderId="9" xfId="0" applyNumberFormat="1" applyFont="1" applyBorder="1" applyAlignment="1">
      <alignment horizontal="center"/>
    </xf>
    <xf numFmtId="164" fontId="48" fillId="0" borderId="37" xfId="0" applyNumberFormat="1" applyFont="1" applyBorder="1" applyAlignment="1">
      <alignment horizontal="center"/>
    </xf>
    <xf numFmtId="164" fontId="38" fillId="2" borderId="14" xfId="0" applyNumberFormat="1" applyFont="1" applyFill="1" applyBorder="1" applyAlignment="1">
      <alignment horizontal="center"/>
    </xf>
    <xf numFmtId="164" fontId="38" fillId="2" borderId="15" xfId="0" applyNumberFormat="1" applyFont="1" applyFill="1" applyBorder="1" applyAlignment="1">
      <alignment horizontal="center"/>
    </xf>
    <xf numFmtId="0" fontId="38" fillId="0" borderId="14" xfId="0" applyFont="1" applyBorder="1" applyAlignment="1">
      <alignment horizontal="left"/>
    </xf>
    <xf numFmtId="0" fontId="40" fillId="0" borderId="7" xfId="0" applyFont="1" applyBorder="1"/>
    <xf numFmtId="164" fontId="42" fillId="2" borderId="26" xfId="0" applyNumberFormat="1" applyFont="1" applyFill="1" applyBorder="1" applyAlignment="1">
      <alignment horizontal="center"/>
    </xf>
    <xf numFmtId="164" fontId="38" fillId="3" borderId="0" xfId="0" applyNumberFormat="1" applyFont="1" applyFill="1" applyAlignment="1">
      <alignment horizontal="center"/>
    </xf>
    <xf numFmtId="164" fontId="40" fillId="0" borderId="34" xfId="0" applyNumberFormat="1" applyFont="1" applyBorder="1" applyAlignment="1">
      <alignment horizontal="center"/>
    </xf>
    <xf numFmtId="164" fontId="40" fillId="0" borderId="23" xfId="0" applyNumberFormat="1" applyFont="1" applyBorder="1" applyAlignment="1">
      <alignment horizontal="center"/>
    </xf>
    <xf numFmtId="164" fontId="40" fillId="0" borderId="35" xfId="0" applyNumberFormat="1" applyFont="1" applyBorder="1" applyAlignment="1">
      <alignment horizontal="center"/>
    </xf>
    <xf numFmtId="164" fontId="42" fillId="2" borderId="27" xfId="0" applyNumberFormat="1" applyFont="1" applyFill="1" applyBorder="1" applyAlignment="1">
      <alignment horizontal="center"/>
    </xf>
    <xf numFmtId="164" fontId="43" fillId="2" borderId="30" xfId="0" applyNumberFormat="1" applyFont="1" applyFill="1" applyBorder="1" applyAlignment="1">
      <alignment horizontal="center"/>
    </xf>
    <xf numFmtId="164" fontId="43" fillId="2" borderId="31" xfId="0" applyNumberFormat="1" applyFont="1" applyFill="1" applyBorder="1" applyAlignment="1">
      <alignment horizontal="center"/>
    </xf>
    <xf numFmtId="164" fontId="43" fillId="2" borderId="6" xfId="0" applyNumberFormat="1" applyFont="1" applyFill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40" fillId="0" borderId="11" xfId="0" applyFont="1" applyBorder="1" applyAlignment="1">
      <alignment horizontal="center"/>
    </xf>
    <xf numFmtId="164" fontId="40" fillId="0" borderId="40" xfId="0" applyNumberFormat="1" applyFont="1" applyBorder="1" applyAlignment="1">
      <alignment horizontal="center"/>
    </xf>
    <xf numFmtId="164" fontId="40" fillId="0" borderId="41" xfId="0" applyNumberFormat="1" applyFont="1" applyBorder="1" applyAlignment="1">
      <alignment horizontal="center"/>
    </xf>
    <xf numFmtId="164" fontId="42" fillId="2" borderId="28" xfId="0" applyNumberFormat="1" applyFont="1" applyFill="1" applyBorder="1" applyAlignment="1">
      <alignment horizontal="center"/>
    </xf>
    <xf numFmtId="164" fontId="42" fillId="0" borderId="29" xfId="0" applyNumberFormat="1" applyFont="1" applyBorder="1" applyAlignment="1">
      <alignment horizontal="center"/>
    </xf>
    <xf numFmtId="164" fontId="40" fillId="0" borderId="26" xfId="0" applyNumberFormat="1" applyFont="1" applyBorder="1" applyAlignment="1">
      <alignment horizontal="center"/>
    </xf>
    <xf numFmtId="164" fontId="42" fillId="2" borderId="29" xfId="0" applyNumberFormat="1" applyFont="1" applyFill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38" fillId="0" borderId="43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44" xfId="0" applyFont="1" applyBorder="1" applyAlignment="1">
      <alignment horizontal="center"/>
    </xf>
    <xf numFmtId="164" fontId="43" fillId="2" borderId="26" xfId="0" applyNumberFormat="1" applyFont="1" applyFill="1" applyBorder="1" applyAlignment="1">
      <alignment horizontal="center"/>
    </xf>
    <xf numFmtId="164" fontId="43" fillId="0" borderId="0" xfId="0" applyNumberFormat="1" applyFont="1" applyAlignment="1">
      <alignment horizontal="center"/>
    </xf>
    <xf numFmtId="0" fontId="67" fillId="0" borderId="0" xfId="0" applyFont="1"/>
    <xf numFmtId="164" fontId="40" fillId="0" borderId="0" xfId="0" applyNumberFormat="1" applyFont="1" applyAlignment="1">
      <alignment horizontal="center"/>
    </xf>
    <xf numFmtId="0" fontId="70" fillId="0" borderId="34" xfId="0" applyFont="1" applyBorder="1" applyAlignment="1">
      <alignment horizontal="center"/>
    </xf>
    <xf numFmtId="164" fontId="38" fillId="0" borderId="23" xfId="0" applyNumberFormat="1" applyFont="1" applyBorder="1" applyAlignment="1">
      <alignment horizontal="center"/>
    </xf>
    <xf numFmtId="164" fontId="38" fillId="0" borderId="35" xfId="0" applyNumberFormat="1" applyFont="1" applyBorder="1" applyAlignment="1">
      <alignment horizontal="center"/>
    </xf>
    <xf numFmtId="0" fontId="70" fillId="0" borderId="26" xfId="0" applyFont="1" applyBorder="1" applyAlignment="1">
      <alignment horizontal="center"/>
    </xf>
    <xf numFmtId="164" fontId="38" fillId="0" borderId="20" xfId="0" applyNumberFormat="1" applyFont="1" applyBorder="1" applyAlignment="1">
      <alignment horizontal="center"/>
    </xf>
    <xf numFmtId="164" fontId="38" fillId="0" borderId="22" xfId="0" applyNumberFormat="1" applyFont="1" applyBorder="1" applyAlignment="1">
      <alignment horizontal="center"/>
    </xf>
    <xf numFmtId="0" fontId="31" fillId="0" borderId="21" xfId="0" applyFont="1" applyBorder="1" applyAlignment="1">
      <alignment horizontal="center"/>
    </xf>
    <xf numFmtId="164" fontId="41" fillId="2" borderId="21" xfId="0" applyNumberFormat="1" applyFont="1" applyFill="1" applyBorder="1" applyAlignment="1">
      <alignment horizontal="right"/>
    </xf>
    <xf numFmtId="0" fontId="0" fillId="0" borderId="37" xfId="0" applyBorder="1" applyAlignment="1">
      <alignment horizontal="center"/>
    </xf>
    <xf numFmtId="14" fontId="63" fillId="0" borderId="45" xfId="1" quotePrefix="1" applyNumberFormat="1" applyBorder="1" applyAlignment="1">
      <alignment horizontal="center" vertical="center" wrapText="1"/>
    </xf>
    <xf numFmtId="0" fontId="0" fillId="2" borderId="21" xfId="0" applyFill="1" applyBorder="1"/>
    <xf numFmtId="0" fontId="0" fillId="0" borderId="37" xfId="0" applyBorder="1"/>
    <xf numFmtId="164" fontId="40" fillId="0" borderId="37" xfId="0" applyNumberFormat="1" applyFont="1" applyBorder="1" applyAlignment="1">
      <alignment horizontal="center"/>
    </xf>
    <xf numFmtId="0" fontId="43" fillId="0" borderId="0" xfId="0" applyFont="1" applyAlignment="1">
      <alignment vertical="center" wrapText="1"/>
    </xf>
    <xf numFmtId="164" fontId="38" fillId="2" borderId="25" xfId="0" applyNumberFormat="1" applyFont="1" applyFill="1" applyBorder="1" applyAlignment="1">
      <alignment horizontal="center"/>
    </xf>
    <xf numFmtId="165" fontId="44" fillId="0" borderId="45" xfId="0" applyNumberFormat="1" applyFont="1" applyBorder="1" applyAlignment="1">
      <alignment horizontal="center"/>
    </xf>
    <xf numFmtId="165" fontId="42" fillId="0" borderId="46" xfId="0" applyNumberFormat="1" applyFont="1" applyBorder="1" applyAlignment="1">
      <alignment horizontal="center"/>
    </xf>
    <xf numFmtId="0" fontId="28" fillId="0" borderId="0" xfId="0" applyFont="1"/>
    <xf numFmtId="0" fontId="0" fillId="0" borderId="26" xfId="0" applyBorder="1"/>
    <xf numFmtId="0" fontId="0" fillId="0" borderId="17" xfId="0" applyBorder="1"/>
    <xf numFmtId="0" fontId="0" fillId="0" borderId="0" xfId="0" applyAlignment="1">
      <alignment wrapText="1"/>
    </xf>
    <xf numFmtId="0" fontId="51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164" fontId="38" fillId="0" borderId="37" xfId="0" applyNumberFormat="1" applyFont="1" applyBorder="1" applyAlignment="1">
      <alignment horizontal="center"/>
    </xf>
    <xf numFmtId="0" fontId="41" fillId="0" borderId="47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38" fillId="0" borderId="47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164" fontId="40" fillId="0" borderId="49" xfId="0" applyNumberFormat="1" applyFont="1" applyBorder="1" applyAlignment="1">
      <alignment horizontal="center"/>
    </xf>
    <xf numFmtId="164" fontId="40" fillId="0" borderId="48" xfId="0" applyNumberFormat="1" applyFont="1" applyBorder="1" applyAlignment="1">
      <alignment horizontal="center"/>
    </xf>
    <xf numFmtId="164" fontId="38" fillId="0" borderId="50" xfId="0" applyNumberFormat="1" applyFont="1" applyBorder="1" applyAlignment="1">
      <alignment horizontal="center"/>
    </xf>
    <xf numFmtId="164" fontId="38" fillId="0" borderId="51" xfId="0" applyNumberFormat="1" applyFont="1" applyBorder="1" applyAlignment="1">
      <alignment horizontal="center"/>
    </xf>
    <xf numFmtId="164" fontId="38" fillId="2" borderId="52" xfId="0" applyNumberFormat="1" applyFont="1" applyFill="1" applyBorder="1" applyAlignment="1">
      <alignment horizontal="center"/>
    </xf>
    <xf numFmtId="164" fontId="40" fillId="2" borderId="28" xfId="0" applyNumberFormat="1" applyFont="1" applyFill="1" applyBorder="1" applyAlignment="1">
      <alignment horizontal="center"/>
    </xf>
    <xf numFmtId="164" fontId="40" fillId="2" borderId="51" xfId="0" applyNumberFormat="1" applyFont="1" applyFill="1" applyBorder="1" applyAlignment="1">
      <alignment horizontal="center"/>
    </xf>
    <xf numFmtId="164" fontId="38" fillId="0" borderId="17" xfId="0" applyNumberFormat="1" applyFont="1" applyBorder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 vertical="center"/>
    </xf>
    <xf numFmtId="166" fontId="0" fillId="0" borderId="0" xfId="2" applyNumberFormat="1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vertical="center"/>
    </xf>
    <xf numFmtId="166" fontId="51" fillId="0" borderId="0" xfId="2" applyNumberFormat="1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164" fontId="49" fillId="2" borderId="52" xfId="0" applyNumberFormat="1" applyFont="1" applyFill="1" applyBorder="1" applyAlignment="1">
      <alignment horizontal="right"/>
    </xf>
    <xf numFmtId="164" fontId="0" fillId="0" borderId="0" xfId="0" applyNumberFormat="1"/>
    <xf numFmtId="0" fontId="20" fillId="0" borderId="35" xfId="0" applyFont="1" applyBorder="1"/>
    <xf numFmtId="0" fontId="20" fillId="0" borderId="0" xfId="0" applyFont="1"/>
    <xf numFmtId="164" fontId="20" fillId="0" borderId="26" xfId="0" applyNumberFormat="1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33" xfId="0" applyFont="1" applyBorder="1"/>
    <xf numFmtId="164" fontId="20" fillId="0" borderId="17" xfId="0" applyNumberFormat="1" applyFont="1" applyBorder="1" applyAlignment="1">
      <alignment horizontal="center"/>
    </xf>
    <xf numFmtId="164" fontId="20" fillId="0" borderId="34" xfId="0" applyNumberFormat="1" applyFont="1" applyBorder="1" applyAlignment="1">
      <alignment horizontal="center"/>
    </xf>
    <xf numFmtId="164" fontId="20" fillId="0" borderId="25" xfId="0" applyNumberFormat="1" applyFont="1" applyBorder="1" applyAlignment="1">
      <alignment horizontal="center"/>
    </xf>
    <xf numFmtId="0" fontId="17" fillId="0" borderId="27" xfId="0" applyFont="1" applyBorder="1"/>
    <xf numFmtId="0" fontId="17" fillId="0" borderId="19" xfId="0" applyFont="1" applyBorder="1"/>
    <xf numFmtId="0" fontId="16" fillId="0" borderId="33" xfId="0" applyFont="1" applyBorder="1"/>
    <xf numFmtId="0" fontId="15" fillId="0" borderId="27" xfId="0" applyFont="1" applyBorder="1"/>
    <xf numFmtId="164" fontId="39" fillId="0" borderId="36" xfId="0" applyNumberFormat="1" applyFont="1" applyBorder="1" applyAlignment="1">
      <alignment horizontal="center"/>
    </xf>
    <xf numFmtId="164" fontId="39" fillId="0" borderId="27" xfId="0" applyNumberFormat="1" applyFont="1" applyBorder="1" applyAlignment="1">
      <alignment horizontal="center"/>
    </xf>
    <xf numFmtId="164" fontId="76" fillId="2" borderId="0" xfId="0" applyNumberFormat="1" applyFont="1" applyFill="1" applyAlignment="1">
      <alignment horizontal="right"/>
    </xf>
    <xf numFmtId="164" fontId="76" fillId="2" borderId="33" xfId="0" applyNumberFormat="1" applyFont="1" applyFill="1" applyBorder="1" applyAlignment="1">
      <alignment horizontal="right"/>
    </xf>
    <xf numFmtId="164" fontId="39" fillId="2" borderId="0" xfId="0" applyNumberFormat="1" applyFont="1" applyFill="1" applyAlignment="1">
      <alignment horizontal="center"/>
    </xf>
    <xf numFmtId="164" fontId="39" fillId="2" borderId="33" xfId="0" applyNumberFormat="1" applyFont="1" applyFill="1" applyBorder="1" applyAlignment="1">
      <alignment horizontal="center"/>
    </xf>
    <xf numFmtId="164" fontId="39" fillId="2" borderId="23" xfId="0" applyNumberFormat="1" applyFont="1" applyFill="1" applyBorder="1" applyAlignment="1">
      <alignment horizontal="center"/>
    </xf>
    <xf numFmtId="164" fontId="39" fillId="2" borderId="35" xfId="0" applyNumberFormat="1" applyFont="1" applyFill="1" applyBorder="1" applyAlignment="1">
      <alignment horizontal="center"/>
    </xf>
    <xf numFmtId="164" fontId="39" fillId="0" borderId="18" xfId="0" applyNumberFormat="1" applyFont="1" applyBorder="1" applyAlignment="1">
      <alignment horizontal="center"/>
    </xf>
    <xf numFmtId="164" fontId="39" fillId="0" borderId="19" xfId="0" applyNumberFormat="1" applyFont="1" applyBorder="1" applyAlignment="1">
      <alignment horizontal="center"/>
    </xf>
    <xf numFmtId="164" fontId="39" fillId="0" borderId="20" xfId="0" applyNumberFormat="1" applyFont="1" applyBorder="1" applyAlignment="1">
      <alignment horizontal="center"/>
    </xf>
    <xf numFmtId="164" fontId="76" fillId="2" borderId="21" xfId="0" applyNumberFormat="1" applyFont="1" applyFill="1" applyBorder="1" applyAlignment="1">
      <alignment horizontal="right"/>
    </xf>
    <xf numFmtId="164" fontId="39" fillId="2" borderId="21" xfId="0" applyNumberFormat="1" applyFont="1" applyFill="1" applyBorder="1" applyAlignment="1">
      <alignment horizontal="center"/>
    </xf>
    <xf numFmtId="164" fontId="39" fillId="2" borderId="22" xfId="0" applyNumberFormat="1" applyFont="1" applyFill="1" applyBorder="1" applyAlignment="1">
      <alignment horizontal="center"/>
    </xf>
    <xf numFmtId="164" fontId="77" fillId="2" borderId="21" xfId="0" applyNumberFormat="1" applyFont="1" applyFill="1" applyBorder="1" applyAlignment="1">
      <alignment horizontal="center"/>
    </xf>
    <xf numFmtId="164" fontId="39" fillId="0" borderId="37" xfId="0" applyNumberFormat="1" applyFont="1" applyBorder="1" applyAlignment="1">
      <alignment horizontal="center"/>
    </xf>
    <xf numFmtId="164" fontId="77" fillId="0" borderId="53" xfId="0" applyNumberFormat="1" applyFont="1" applyBorder="1" applyAlignment="1">
      <alignment horizontal="center"/>
    </xf>
    <xf numFmtId="164" fontId="39" fillId="2" borderId="34" xfId="0" applyNumberFormat="1" applyFont="1" applyFill="1" applyBorder="1" applyAlignment="1">
      <alignment horizontal="center"/>
    </xf>
    <xf numFmtId="164" fontId="43" fillId="2" borderId="36" xfId="0" applyNumberFormat="1" applyFont="1" applyFill="1" applyBorder="1" applyAlignment="1">
      <alignment horizontal="center"/>
    </xf>
    <xf numFmtId="164" fontId="43" fillId="2" borderId="27" xfId="0" applyNumberFormat="1" applyFont="1" applyFill="1" applyBorder="1" applyAlignment="1">
      <alignment horizontal="center"/>
    </xf>
    <xf numFmtId="164" fontId="77" fillId="0" borderId="37" xfId="0" applyNumberFormat="1" applyFont="1" applyBorder="1" applyAlignment="1">
      <alignment horizontal="center"/>
    </xf>
    <xf numFmtId="164" fontId="77" fillId="0" borderId="18" xfId="0" applyNumberFormat="1" applyFont="1" applyBorder="1" applyAlignment="1">
      <alignment horizontal="center"/>
    </xf>
    <xf numFmtId="164" fontId="77" fillId="0" borderId="19" xfId="0" applyNumberFormat="1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0" fontId="27" fillId="0" borderId="21" xfId="0" applyFont="1" applyBorder="1" applyAlignment="1">
      <alignment horizontal="center" vertical="center" textRotation="90" wrapText="1"/>
    </xf>
    <xf numFmtId="0" fontId="53" fillId="0" borderId="2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0" borderId="27" xfId="0" applyFont="1" applyBorder="1"/>
    <xf numFmtId="0" fontId="43" fillId="0" borderId="17" xfId="0" applyFont="1" applyBorder="1" applyAlignment="1">
      <alignment horizontal="center"/>
    </xf>
    <xf numFmtId="164" fontId="77" fillId="0" borderId="34" xfId="0" applyNumberFormat="1" applyFont="1" applyBorder="1" applyAlignment="1">
      <alignment horizontal="center"/>
    </xf>
    <xf numFmtId="164" fontId="77" fillId="0" borderId="23" xfId="0" applyNumberFormat="1" applyFont="1" applyBorder="1" applyAlignment="1">
      <alignment horizontal="center"/>
    </xf>
    <xf numFmtId="164" fontId="77" fillId="0" borderId="35" xfId="0" applyNumberFormat="1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164" fontId="49" fillId="2" borderId="50" xfId="0" applyNumberFormat="1" applyFont="1" applyFill="1" applyBorder="1" applyAlignment="1">
      <alignment horizontal="right"/>
    </xf>
    <xf numFmtId="0" fontId="49" fillId="0" borderId="14" xfId="0" applyFont="1" applyBorder="1" applyAlignment="1">
      <alignment horizontal="right"/>
    </xf>
    <xf numFmtId="0" fontId="3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64" fontId="43" fillId="0" borderId="33" xfId="0" applyNumberFormat="1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164" fontId="43" fillId="0" borderId="25" xfId="0" applyNumberFormat="1" applyFont="1" applyBorder="1" applyAlignment="1">
      <alignment horizontal="center"/>
    </xf>
    <xf numFmtId="164" fontId="42" fillId="0" borderId="17" xfId="0" applyNumberFormat="1" applyFont="1" applyBorder="1" applyAlignment="1">
      <alignment horizontal="center"/>
    </xf>
    <xf numFmtId="164" fontId="42" fillId="0" borderId="18" xfId="0" applyNumberFormat="1" applyFont="1" applyBorder="1" applyAlignment="1">
      <alignment horizontal="center"/>
    </xf>
    <xf numFmtId="164" fontId="42" fillId="0" borderId="19" xfId="0" applyNumberFormat="1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39" fillId="0" borderId="19" xfId="0" applyFont="1" applyBorder="1" applyAlignment="1">
      <alignment horizontal="center"/>
    </xf>
    <xf numFmtId="0" fontId="43" fillId="0" borderId="2" xfId="0" applyFont="1" applyBorder="1"/>
    <xf numFmtId="164" fontId="77" fillId="2" borderId="17" xfId="0" applyNumberFormat="1" applyFont="1" applyFill="1" applyBorder="1" applyAlignment="1">
      <alignment horizontal="center"/>
    </xf>
    <xf numFmtId="164" fontId="77" fillId="2" borderId="18" xfId="0" applyNumberFormat="1" applyFont="1" applyFill="1" applyBorder="1" applyAlignment="1">
      <alignment horizontal="center"/>
    </xf>
    <xf numFmtId="164" fontId="77" fillId="2" borderId="19" xfId="0" applyNumberFormat="1" applyFont="1" applyFill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67" fillId="0" borderId="17" xfId="0" applyFont="1" applyBorder="1" applyAlignment="1">
      <alignment horizontal="center"/>
    </xf>
    <xf numFmtId="164" fontId="43" fillId="0" borderId="2" xfId="0" applyNumberFormat="1" applyFont="1" applyBorder="1"/>
    <xf numFmtId="0" fontId="43" fillId="0" borderId="4" xfId="0" applyFont="1" applyBorder="1"/>
    <xf numFmtId="0" fontId="61" fillId="0" borderId="17" xfId="0" applyFont="1" applyBorder="1"/>
    <xf numFmtId="164" fontId="61" fillId="0" borderId="18" xfId="0" applyNumberFormat="1" applyFont="1" applyBorder="1"/>
    <xf numFmtId="0" fontId="61" fillId="0" borderId="19" xfId="0" applyFont="1" applyBorder="1"/>
    <xf numFmtId="0" fontId="78" fillId="0" borderId="0" xfId="1" applyFont="1" applyAlignment="1">
      <alignment horizontal="left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top" wrapText="1"/>
    </xf>
    <xf numFmtId="0" fontId="78" fillId="0" borderId="0" xfId="1" applyFont="1" applyAlignment="1">
      <alignment horizontal="left" vertical="top" wrapText="1"/>
    </xf>
    <xf numFmtId="0" fontId="0" fillId="0" borderId="18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2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23" xfId="0" applyBorder="1" applyAlignment="1">
      <alignment vertical="top" wrapText="1"/>
    </xf>
    <xf numFmtId="0" fontId="27" fillId="0" borderId="36" xfId="0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6" fillId="0" borderId="18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25" fillId="0" borderId="25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25" fillId="0" borderId="34" xfId="0" applyFont="1" applyBorder="1" applyAlignment="1">
      <alignment vertical="top" wrapText="1"/>
    </xf>
    <xf numFmtId="0" fontId="25" fillId="0" borderId="17" xfId="0" applyFont="1" applyBorder="1" applyAlignment="1">
      <alignment vertical="top" wrapText="1"/>
    </xf>
    <xf numFmtId="0" fontId="21" fillId="0" borderId="17" xfId="0" applyFont="1" applyBorder="1" applyAlignment="1">
      <alignment vertical="top" wrapText="1"/>
    </xf>
    <xf numFmtId="0" fontId="0" fillId="0" borderId="37" xfId="0" applyBorder="1" applyAlignment="1">
      <alignment horizontal="right" vertical="top" wrapText="1"/>
    </xf>
    <xf numFmtId="0" fontId="13" fillId="0" borderId="21" xfId="0" applyFont="1" applyBorder="1" applyAlignment="1">
      <alignment horizontal="right" vertical="top" wrapText="1"/>
    </xf>
    <xf numFmtId="0" fontId="13" fillId="0" borderId="22" xfId="0" applyFont="1" applyBorder="1" applyAlignment="1">
      <alignment horizontal="right" vertical="top" wrapText="1"/>
    </xf>
    <xf numFmtId="0" fontId="13" fillId="0" borderId="37" xfId="0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26" fillId="0" borderId="0" xfId="0" applyFont="1" applyAlignment="1">
      <alignment vertical="top" wrapText="1"/>
    </xf>
    <xf numFmtId="0" fontId="27" fillId="0" borderId="23" xfId="0" applyFont="1" applyBorder="1" applyAlignment="1">
      <alignment vertical="top" wrapText="1"/>
    </xf>
    <xf numFmtId="0" fontId="27" fillId="0" borderId="18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19" fillId="0" borderId="26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22" fillId="0" borderId="34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27" fillId="0" borderId="26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22" fillId="0" borderId="26" xfId="0" applyFont="1" applyBorder="1" applyAlignment="1">
      <alignment vertical="top" wrapText="1"/>
    </xf>
    <xf numFmtId="0" fontId="63" fillId="0" borderId="34" xfId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0" fillId="0" borderId="0" xfId="0" applyAlignment="1">
      <alignment vertical="top"/>
    </xf>
    <xf numFmtId="0" fontId="78" fillId="0" borderId="0" xfId="1" applyFont="1" applyAlignment="1">
      <alignment horizontal="left" vertical="top"/>
    </xf>
    <xf numFmtId="0" fontId="0" fillId="0" borderId="36" xfId="0" applyBorder="1" applyAlignment="1">
      <alignment vertical="top"/>
    </xf>
    <xf numFmtId="0" fontId="1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0" fillId="0" borderId="23" xfId="0" applyBorder="1" applyAlignment="1">
      <alignment vertical="top"/>
    </xf>
    <xf numFmtId="0" fontId="0" fillId="0" borderId="18" xfId="0" applyBorder="1" applyAlignment="1">
      <alignment vertical="top"/>
    </xf>
    <xf numFmtId="0" fontId="22" fillId="0" borderId="0" xfId="0" applyFont="1" applyAlignment="1">
      <alignment vertical="top"/>
    </xf>
    <xf numFmtId="0" fontId="44" fillId="0" borderId="0" xfId="0" applyFont="1" applyAlignment="1">
      <alignment vertical="top"/>
    </xf>
    <xf numFmtId="0" fontId="27" fillId="0" borderId="17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17" xfId="0" applyBorder="1" applyAlignment="1">
      <alignment vertical="top"/>
    </xf>
    <xf numFmtId="0" fontId="18" fillId="0" borderId="0" xfId="0" applyFont="1" applyAlignment="1">
      <alignment vertical="top"/>
    </xf>
    <xf numFmtId="0" fontId="22" fillId="0" borderId="17" xfId="0" applyFont="1" applyBorder="1" applyAlignment="1">
      <alignment vertical="top"/>
    </xf>
    <xf numFmtId="0" fontId="22" fillId="0" borderId="25" xfId="0" applyFont="1" applyBorder="1" applyAlignment="1">
      <alignment vertical="top"/>
    </xf>
    <xf numFmtId="0" fontId="75" fillId="0" borderId="37" xfId="0" applyFont="1" applyBorder="1" applyAlignment="1">
      <alignment horizontal="center" vertical="top"/>
    </xf>
    <xf numFmtId="0" fontId="63" fillId="0" borderId="37" xfId="1" applyBorder="1" applyAlignment="1">
      <alignment horizontal="center" vertical="top"/>
    </xf>
    <xf numFmtId="0" fontId="63" fillId="0" borderId="17" xfId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168" fontId="0" fillId="0" borderId="20" xfId="0" applyNumberFormat="1" applyBorder="1" applyAlignment="1">
      <alignment horizontal="center" vertical="top"/>
    </xf>
    <xf numFmtId="168" fontId="0" fillId="0" borderId="26" xfId="0" applyNumberFormat="1" applyBorder="1" applyAlignment="1">
      <alignment horizontal="center" vertical="top"/>
    </xf>
    <xf numFmtId="9" fontId="72" fillId="0" borderId="36" xfId="2" applyFont="1" applyBorder="1" applyAlignment="1">
      <alignment horizontal="center" vertical="top"/>
    </xf>
    <xf numFmtId="166" fontId="0" fillId="0" borderId="20" xfId="2" applyNumberFormat="1" applyFont="1" applyBorder="1" applyAlignment="1">
      <alignment horizontal="center" vertical="top"/>
    </xf>
    <xf numFmtId="168" fontId="0" fillId="0" borderId="21" xfId="0" applyNumberFormat="1" applyBorder="1" applyAlignment="1">
      <alignment horizontal="center" vertical="top"/>
    </xf>
    <xf numFmtId="168" fontId="0" fillId="0" borderId="25" xfId="0" applyNumberFormat="1" applyBorder="1" applyAlignment="1">
      <alignment horizontal="center" vertical="top"/>
    </xf>
    <xf numFmtId="9" fontId="72" fillId="0" borderId="0" xfId="2" applyFont="1" applyBorder="1" applyAlignment="1">
      <alignment horizontal="center" vertical="top"/>
    </xf>
    <xf numFmtId="166" fontId="0" fillId="0" borderId="21" xfId="2" applyNumberFormat="1" applyFont="1" applyBorder="1" applyAlignment="1">
      <alignment horizontal="center" vertical="top"/>
    </xf>
    <xf numFmtId="9" fontId="71" fillId="0" borderId="0" xfId="2" applyFont="1" applyBorder="1" applyAlignment="1">
      <alignment horizontal="center" vertical="top"/>
    </xf>
    <xf numFmtId="168" fontId="0" fillId="0" borderId="22" xfId="0" applyNumberFormat="1" applyBorder="1" applyAlignment="1">
      <alignment horizontal="center" vertical="top"/>
    </xf>
    <xf numFmtId="168" fontId="0" fillId="0" borderId="34" xfId="0" applyNumberFormat="1" applyBorder="1" applyAlignment="1">
      <alignment horizontal="center" vertical="top"/>
    </xf>
    <xf numFmtId="9" fontId="71" fillId="0" borderId="23" xfId="2" applyFont="1" applyBorder="1" applyAlignment="1">
      <alignment horizontal="center" vertical="top"/>
    </xf>
    <xf numFmtId="166" fontId="0" fillId="0" borderId="22" xfId="2" applyNumberFormat="1" applyFont="1" applyBorder="1" applyAlignment="1">
      <alignment horizontal="center" vertical="top"/>
    </xf>
    <xf numFmtId="9" fontId="71" fillId="0" borderId="27" xfId="2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9" fontId="71" fillId="0" borderId="35" xfId="2" applyFont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168" fontId="0" fillId="0" borderId="37" xfId="0" applyNumberFormat="1" applyBorder="1" applyAlignment="1">
      <alignment horizontal="center" vertical="top"/>
    </xf>
    <xf numFmtId="168" fontId="0" fillId="0" borderId="17" xfId="0" applyNumberFormat="1" applyBorder="1" applyAlignment="1">
      <alignment horizontal="center" vertical="top"/>
    </xf>
    <xf numFmtId="9" fontId="71" fillId="0" borderId="18" xfId="2" applyFont="1" applyBorder="1" applyAlignment="1">
      <alignment horizontal="center" vertical="top"/>
    </xf>
    <xf numFmtId="166" fontId="0" fillId="0" borderId="37" xfId="2" applyNumberFormat="1" applyFont="1" applyBorder="1" applyAlignment="1">
      <alignment horizontal="center" vertical="top"/>
    </xf>
    <xf numFmtId="3" fontId="0" fillId="0" borderId="0" xfId="0" applyNumberFormat="1" applyAlignment="1">
      <alignment vertical="top"/>
    </xf>
    <xf numFmtId="1" fontId="0" fillId="0" borderId="37" xfId="0" applyNumberFormat="1" applyBorder="1" applyAlignment="1">
      <alignment horizontal="center" vertical="top"/>
    </xf>
    <xf numFmtId="1" fontId="0" fillId="0" borderId="17" xfId="0" applyNumberFormat="1" applyBorder="1" applyAlignment="1">
      <alignment horizontal="center" vertical="top"/>
    </xf>
    <xf numFmtId="0" fontId="53" fillId="0" borderId="37" xfId="0" applyFont="1" applyBorder="1" applyAlignment="1">
      <alignment horizontal="center" vertical="top"/>
    </xf>
    <xf numFmtId="9" fontId="0" fillId="0" borderId="20" xfId="2" applyFont="1" applyBorder="1" applyAlignment="1">
      <alignment horizontal="center" vertical="top"/>
    </xf>
    <xf numFmtId="9" fontId="0" fillId="0" borderId="21" xfId="2" applyFont="1" applyBorder="1" applyAlignment="1">
      <alignment horizontal="center" vertical="top"/>
    </xf>
    <xf numFmtId="9" fontId="0" fillId="0" borderId="22" xfId="2" applyFont="1" applyBorder="1" applyAlignment="1">
      <alignment horizontal="center" vertical="top"/>
    </xf>
    <xf numFmtId="9" fontId="0" fillId="0" borderId="19" xfId="2" applyFont="1" applyBorder="1" applyAlignment="1">
      <alignment horizontal="center" vertical="top"/>
    </xf>
    <xf numFmtId="9" fontId="0" fillId="0" borderId="37" xfId="2" applyFont="1" applyBorder="1" applyAlignment="1">
      <alignment horizontal="center" vertical="top"/>
    </xf>
    <xf numFmtId="168" fontId="0" fillId="0" borderId="0" xfId="0" applyNumberFormat="1" applyAlignment="1">
      <alignment vertical="top"/>
    </xf>
    <xf numFmtId="1" fontId="0" fillId="0" borderId="18" xfId="0" applyNumberFormat="1" applyBorder="1" applyAlignment="1">
      <alignment horizontal="center" vertical="top"/>
    </xf>
    <xf numFmtId="1" fontId="0" fillId="0" borderId="19" xfId="0" applyNumberFormat="1" applyBorder="1" applyAlignment="1">
      <alignment horizontal="center" vertical="top"/>
    </xf>
    <xf numFmtId="168" fontId="0" fillId="0" borderId="33" xfId="0" applyNumberFormat="1" applyBorder="1" applyAlignment="1">
      <alignment vertical="top"/>
    </xf>
    <xf numFmtId="168" fontId="0" fillId="0" borderId="23" xfId="0" applyNumberFormat="1" applyBorder="1" applyAlignment="1">
      <alignment vertical="top"/>
    </xf>
    <xf numFmtId="168" fontId="0" fillId="0" borderId="35" xfId="0" applyNumberFormat="1" applyBorder="1" applyAlignment="1">
      <alignment vertical="top"/>
    </xf>
    <xf numFmtId="168" fontId="0" fillId="0" borderId="18" xfId="0" applyNumberFormat="1" applyBorder="1" applyAlignment="1">
      <alignment vertical="top"/>
    </xf>
    <xf numFmtId="168" fontId="0" fillId="0" borderId="19" xfId="0" applyNumberFormat="1" applyBorder="1" applyAlignment="1">
      <alignment vertical="top"/>
    </xf>
    <xf numFmtId="0" fontId="13" fillId="0" borderId="37" xfId="0" applyFont="1" applyBorder="1" applyAlignment="1">
      <alignment horizontal="center" vertical="top"/>
    </xf>
    <xf numFmtId="0" fontId="8" fillId="0" borderId="17" xfId="0" applyFont="1" applyBorder="1" applyAlignment="1">
      <alignment vertical="top"/>
    </xf>
    <xf numFmtId="0" fontId="8" fillId="0" borderId="19" xfId="0" applyFont="1" applyBorder="1" applyAlignment="1">
      <alignment horizontal="center" vertical="top"/>
    </xf>
    <xf numFmtId="1" fontId="0" fillId="0" borderId="20" xfId="0" applyNumberFormat="1" applyBorder="1" applyAlignment="1">
      <alignment horizontal="center" vertical="top"/>
    </xf>
    <xf numFmtId="1" fontId="0" fillId="0" borderId="36" xfId="0" applyNumberFormat="1" applyBorder="1" applyAlignment="1">
      <alignment horizontal="center" vertical="top"/>
    </xf>
    <xf numFmtId="1" fontId="0" fillId="0" borderId="26" xfId="0" applyNumberFormat="1" applyBorder="1" applyAlignment="1">
      <alignment horizontal="center" vertical="top"/>
    </xf>
    <xf numFmtId="1" fontId="0" fillId="0" borderId="27" xfId="0" applyNumberFormat="1" applyBorder="1" applyAlignment="1">
      <alignment horizontal="center" vertical="top"/>
    </xf>
    <xf numFmtId="168" fontId="0" fillId="0" borderId="36" xfId="0" applyNumberFormat="1" applyBorder="1" applyAlignment="1">
      <alignment horizontal="center" vertical="top"/>
    </xf>
    <xf numFmtId="168" fontId="0" fillId="0" borderId="27" xfId="0" applyNumberFormat="1" applyBorder="1" applyAlignment="1">
      <alignment horizontal="center" vertical="top"/>
    </xf>
    <xf numFmtId="168" fontId="0" fillId="0" borderId="23" xfId="0" applyNumberFormat="1" applyBorder="1" applyAlignment="1">
      <alignment horizontal="center" vertical="top"/>
    </xf>
    <xf numFmtId="168" fontId="0" fillId="0" borderId="35" xfId="0" applyNumberFormat="1" applyBorder="1" applyAlignment="1">
      <alignment horizontal="center" vertical="top"/>
    </xf>
    <xf numFmtId="168" fontId="0" fillId="0" borderId="18" xfId="0" applyNumberFormat="1" applyBorder="1" applyAlignment="1">
      <alignment horizontal="center" vertical="top"/>
    </xf>
    <xf numFmtId="168" fontId="0" fillId="0" borderId="19" xfId="0" applyNumberFormat="1" applyBorder="1" applyAlignment="1">
      <alignment horizontal="center" vertical="top"/>
    </xf>
    <xf numFmtId="168" fontId="0" fillId="0" borderId="0" xfId="0" applyNumberFormat="1" applyAlignment="1">
      <alignment horizontal="center" vertical="top"/>
    </xf>
    <xf numFmtId="168" fontId="0" fillId="0" borderId="33" xfId="0" applyNumberFormat="1" applyBorder="1" applyAlignment="1">
      <alignment horizontal="center" vertical="top"/>
    </xf>
    <xf numFmtId="1" fontId="0" fillId="0" borderId="0" xfId="0" applyNumberFormat="1" applyAlignment="1">
      <alignment horizontal="center" vertical="top"/>
    </xf>
    <xf numFmtId="1" fontId="0" fillId="0" borderId="25" xfId="0" applyNumberFormat="1" applyBorder="1" applyAlignment="1">
      <alignment horizontal="center" vertical="top"/>
    </xf>
    <xf numFmtId="1" fontId="0" fillId="0" borderId="33" xfId="0" applyNumberFormat="1" applyBorder="1" applyAlignment="1">
      <alignment horizontal="center" vertical="top"/>
    </xf>
    <xf numFmtId="168" fontId="22" fillId="0" borderId="22" xfId="0" applyNumberFormat="1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68" fontId="0" fillId="0" borderId="21" xfId="0" applyNumberFormat="1" applyBorder="1" applyAlignment="1">
      <alignment vertical="top"/>
    </xf>
    <xf numFmtId="168" fontId="0" fillId="0" borderId="25" xfId="0" applyNumberFormat="1" applyBorder="1" applyAlignment="1">
      <alignment vertical="top"/>
    </xf>
    <xf numFmtId="0" fontId="0" fillId="0" borderId="21" xfId="0" applyBorder="1" applyAlignment="1">
      <alignment vertical="top"/>
    </xf>
    <xf numFmtId="168" fontId="0" fillId="0" borderId="37" xfId="0" applyNumberFormat="1" applyBorder="1" applyAlignment="1">
      <alignment vertical="top"/>
    </xf>
    <xf numFmtId="168" fontId="19" fillId="0" borderId="0" xfId="0" applyNumberFormat="1" applyFont="1" applyAlignment="1">
      <alignment vertical="top"/>
    </xf>
    <xf numFmtId="168" fontId="51" fillId="0" borderId="37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top" wrapText="1"/>
    </xf>
    <xf numFmtId="168" fontId="63" fillId="0" borderId="0" xfId="1" applyNumberFormat="1" applyBorder="1" applyAlignment="1">
      <alignment horizontal="center" vertical="top"/>
    </xf>
    <xf numFmtId="0" fontId="79" fillId="0" borderId="0" xfId="0" applyFont="1" applyAlignment="1">
      <alignment vertical="top"/>
    </xf>
    <xf numFmtId="0" fontId="6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0" fontId="5" fillId="0" borderId="0" xfId="0" applyFont="1"/>
    <xf numFmtId="0" fontId="73" fillId="0" borderId="0" xfId="1" applyFont="1" applyAlignment="1">
      <alignment horizontal="center"/>
    </xf>
    <xf numFmtId="0" fontId="0" fillId="0" borderId="18" xfId="0" applyBorder="1" applyAlignment="1">
      <alignment horizontal="center"/>
    </xf>
    <xf numFmtId="0" fontId="4" fillId="0" borderId="18" xfId="0" applyFont="1" applyBorder="1"/>
    <xf numFmtId="0" fontId="73" fillId="0" borderId="0" xfId="1" applyFont="1" applyBorder="1" applyAlignment="1">
      <alignment horizontal="center" vertical="center"/>
    </xf>
    <xf numFmtId="0" fontId="0" fillId="0" borderId="18" xfId="0" applyBorder="1"/>
    <xf numFmtId="0" fontId="0" fillId="0" borderId="17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3" fillId="0" borderId="37" xfId="1" applyBorder="1"/>
    <xf numFmtId="167" fontId="43" fillId="0" borderId="17" xfId="0" applyNumberFormat="1" applyFont="1" applyBorder="1" applyAlignment="1">
      <alignment horizontal="center"/>
    </xf>
    <xf numFmtId="167" fontId="43" fillId="0" borderId="18" xfId="0" applyNumberFormat="1" applyFont="1" applyBorder="1" applyAlignment="1">
      <alignment horizontal="center"/>
    </xf>
    <xf numFmtId="167" fontId="43" fillId="0" borderId="19" xfId="0" applyNumberFormat="1" applyFont="1" applyBorder="1" applyAlignment="1">
      <alignment horizontal="center"/>
    </xf>
    <xf numFmtId="0" fontId="43" fillId="0" borderId="18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39" fillId="0" borderId="25" xfId="0" applyFont="1" applyBorder="1"/>
    <xf numFmtId="168" fontId="39" fillId="0" borderId="21" xfId="0" applyNumberFormat="1" applyFont="1" applyBorder="1" applyAlignment="1">
      <alignment horizontal="right"/>
    </xf>
    <xf numFmtId="0" fontId="39" fillId="0" borderId="37" xfId="0" applyFont="1" applyBorder="1" applyAlignment="1">
      <alignment horizontal="right"/>
    </xf>
    <xf numFmtId="168" fontId="0" fillId="0" borderId="21" xfId="0" applyNumberFormat="1" applyBorder="1"/>
    <xf numFmtId="9" fontId="0" fillId="0" borderId="21" xfId="2" applyFont="1" applyBorder="1"/>
    <xf numFmtId="0" fontId="39" fillId="0" borderId="17" xfId="0" applyFont="1" applyBorder="1"/>
    <xf numFmtId="0" fontId="2" fillId="0" borderId="0" xfId="0" applyFont="1"/>
    <xf numFmtId="164" fontId="0" fillId="4" borderId="37" xfId="0" applyNumberFormat="1" applyFill="1" applyBorder="1"/>
    <xf numFmtId="0" fontId="43" fillId="0" borderId="20" xfId="0" applyFont="1" applyBorder="1" applyAlignment="1">
      <alignment horizontal="right"/>
    </xf>
    <xf numFmtId="0" fontId="43" fillId="0" borderId="53" xfId="0" applyFont="1" applyBorder="1" applyAlignment="1">
      <alignment horizontal="left"/>
    </xf>
    <xf numFmtId="0" fontId="43" fillId="0" borderId="54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74" fillId="0" borderId="0" xfId="0" applyFont="1"/>
    <xf numFmtId="0" fontId="59" fillId="0" borderId="37" xfId="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164" fontId="42" fillId="4" borderId="33" xfId="0" applyNumberFormat="1" applyFont="1" applyFill="1" applyBorder="1" applyAlignment="1">
      <alignment horizontal="center"/>
    </xf>
    <xf numFmtId="0" fontId="63" fillId="0" borderId="17" xfId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52" fillId="0" borderId="19" xfId="0" applyFont="1" applyBorder="1" applyAlignment="1">
      <alignment horizontal="center"/>
    </xf>
    <xf numFmtId="164" fontId="43" fillId="0" borderId="17" xfId="0" applyNumberFormat="1" applyFont="1" applyBorder="1" applyAlignment="1">
      <alignment horizontal="center"/>
    </xf>
    <xf numFmtId="164" fontId="43" fillId="0" borderId="18" xfId="0" applyNumberFormat="1" applyFont="1" applyBorder="1" applyAlignment="1">
      <alignment horizontal="center"/>
    </xf>
    <xf numFmtId="164" fontId="43" fillId="0" borderId="19" xfId="0" applyNumberFormat="1" applyFont="1" applyBorder="1" applyAlignment="1">
      <alignment horizontal="center"/>
    </xf>
    <xf numFmtId="167" fontId="43" fillId="0" borderId="17" xfId="0" applyNumberFormat="1" applyFont="1" applyBorder="1" applyAlignment="1">
      <alignment horizontal="center"/>
    </xf>
    <xf numFmtId="167" fontId="43" fillId="0" borderId="18" xfId="0" applyNumberFormat="1" applyFont="1" applyBorder="1" applyAlignment="1">
      <alignment horizontal="center"/>
    </xf>
    <xf numFmtId="167" fontId="43" fillId="0" borderId="19" xfId="0" applyNumberFormat="1" applyFont="1" applyBorder="1" applyAlignment="1">
      <alignment horizontal="center"/>
    </xf>
    <xf numFmtId="0" fontId="43" fillId="0" borderId="17" xfId="0" applyFont="1" applyBorder="1" applyAlignment="1">
      <alignment horizontal="center"/>
    </xf>
    <xf numFmtId="0" fontId="43" fillId="0" borderId="18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19" xfId="0" applyFont="1" applyBorder="1" applyAlignment="1">
      <alignment horizontal="center"/>
    </xf>
    <xf numFmtId="0" fontId="58" fillId="0" borderId="37" xfId="0" applyFont="1" applyBorder="1" applyAlignment="1">
      <alignment horizontal="center" vertical="center"/>
    </xf>
    <xf numFmtId="0" fontId="63" fillId="0" borderId="37" xfId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60" fillId="0" borderId="34" xfId="0" applyFont="1" applyBorder="1" applyAlignment="1">
      <alignment horizontal="center"/>
    </xf>
    <xf numFmtId="0" fontId="60" fillId="0" borderId="23" xfId="0" applyFont="1" applyBorder="1" applyAlignment="1">
      <alignment horizontal="center"/>
    </xf>
    <xf numFmtId="0" fontId="60" fillId="0" borderId="35" xfId="0" applyFont="1" applyBorder="1" applyAlignment="1">
      <alignment horizontal="center"/>
    </xf>
    <xf numFmtId="0" fontId="73" fillId="0" borderId="0" xfId="1" applyFont="1" applyAlignment="1">
      <alignment horizontal="center"/>
    </xf>
    <xf numFmtId="0" fontId="38" fillId="0" borderId="14" xfId="0" applyFont="1" applyBorder="1" applyAlignment="1">
      <alignment horizontal="center" vertical="center"/>
    </xf>
    <xf numFmtId="0" fontId="39" fillId="0" borderId="7" xfId="0" applyFont="1" applyBorder="1"/>
    <xf numFmtId="0" fontId="74" fillId="0" borderId="17" xfId="0" applyFont="1" applyBorder="1" applyAlignment="1">
      <alignment horizontal="center"/>
    </xf>
    <xf numFmtId="0" fontId="74" fillId="0" borderId="18" xfId="0" applyFont="1" applyBorder="1" applyAlignment="1">
      <alignment horizontal="center"/>
    </xf>
    <xf numFmtId="0" fontId="74" fillId="0" borderId="19" xfId="0" applyFont="1" applyBorder="1" applyAlignment="1">
      <alignment horizontal="center"/>
    </xf>
    <xf numFmtId="0" fontId="41" fillId="0" borderId="17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73" fillId="0" borderId="17" xfId="1" applyFont="1" applyBorder="1" applyAlignment="1">
      <alignment horizontal="center" vertical="center"/>
    </xf>
    <xf numFmtId="0" fontId="73" fillId="0" borderId="18" xfId="1" applyFont="1" applyBorder="1" applyAlignment="1">
      <alignment horizontal="center" vertical="center"/>
    </xf>
    <xf numFmtId="0" fontId="73" fillId="0" borderId="19" xfId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168" fontId="63" fillId="0" borderId="17" xfId="1" applyNumberFormat="1" applyBorder="1" applyAlignment="1">
      <alignment horizontal="center" vertical="top"/>
    </xf>
    <xf numFmtId="168" fontId="63" fillId="0" borderId="19" xfId="1" applyNumberFormat="1" applyBorder="1" applyAlignment="1">
      <alignment horizontal="center" vertical="top"/>
    </xf>
    <xf numFmtId="0" fontId="27" fillId="0" borderId="20" xfId="0" applyFont="1" applyBorder="1" applyAlignment="1">
      <alignment horizontal="center" vertical="center" textRotation="90" wrapText="1"/>
    </xf>
    <xf numFmtId="0" fontId="27" fillId="0" borderId="21" xfId="0" applyFont="1" applyBorder="1" applyAlignment="1">
      <alignment horizontal="center" vertical="center" textRotation="90" wrapText="1"/>
    </xf>
    <xf numFmtId="0" fontId="27" fillId="0" borderId="22" xfId="0" applyFont="1" applyBorder="1" applyAlignment="1">
      <alignment horizontal="center" vertical="center" textRotation="90" wrapText="1"/>
    </xf>
    <xf numFmtId="0" fontId="78" fillId="0" borderId="0" xfId="1" applyFont="1" applyAlignment="1">
      <alignment horizontal="left"/>
    </xf>
    <xf numFmtId="0" fontId="63" fillId="0" borderId="34" xfId="1" applyBorder="1" applyAlignment="1">
      <alignment horizontal="left"/>
    </xf>
    <xf numFmtId="0" fontId="63" fillId="0" borderId="23" xfId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9" fillId="0" borderId="10" xfId="0" applyFont="1" applyBorder="1"/>
    <xf numFmtId="0" fontId="39" fillId="0" borderId="12" xfId="0" applyFont="1" applyBorder="1"/>
    <xf numFmtId="0" fontId="43" fillId="0" borderId="10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/>
    </xf>
    <xf numFmtId="0" fontId="39" fillId="0" borderId="5" xfId="0" applyFont="1" applyBorder="1"/>
    <xf numFmtId="14" fontId="51" fillId="0" borderId="16" xfId="0" quotePrefix="1" applyNumberFormat="1" applyFont="1" applyBorder="1" applyAlignment="1">
      <alignment horizontal="center" vertical="center" wrapText="1"/>
    </xf>
    <xf numFmtId="0" fontId="64" fillId="0" borderId="12" xfId="0" applyFont="1" applyBorder="1" applyAlignment="1">
      <alignment vertical="center"/>
    </xf>
    <xf numFmtId="0" fontId="51" fillId="0" borderId="11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53" fillId="0" borderId="17" xfId="0" applyFont="1" applyBorder="1" applyAlignment="1">
      <alignment horizontal="center"/>
    </xf>
    <xf numFmtId="0" fontId="53" fillId="0" borderId="18" xfId="0" applyFont="1" applyBorder="1" applyAlignment="1">
      <alignment horizontal="center"/>
    </xf>
    <xf numFmtId="0" fontId="53" fillId="0" borderId="19" xfId="0" applyFont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37" fillId="0" borderId="18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51" fillId="0" borderId="26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51" fillId="0" borderId="1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/>
    </xf>
    <xf numFmtId="0" fontId="42" fillId="0" borderId="26" xfId="0" applyFont="1" applyBorder="1" applyAlignment="1">
      <alignment horizontal="center" wrapText="1"/>
    </xf>
    <xf numFmtId="0" fontId="42" fillId="0" borderId="36" xfId="0" applyFont="1" applyBorder="1" applyAlignment="1">
      <alignment horizontal="center" wrapText="1"/>
    </xf>
    <xf numFmtId="0" fontId="42" fillId="0" borderId="27" xfId="0" applyFont="1" applyBorder="1" applyAlignment="1">
      <alignment horizontal="center" wrapText="1"/>
    </xf>
    <xf numFmtId="0" fontId="42" fillId="0" borderId="34" xfId="0" applyFont="1" applyBorder="1" applyAlignment="1">
      <alignment horizontal="center" wrapText="1"/>
    </xf>
    <xf numFmtId="0" fontId="42" fillId="0" borderId="23" xfId="0" applyFont="1" applyBorder="1" applyAlignment="1">
      <alignment horizontal="center" wrapText="1"/>
    </xf>
    <xf numFmtId="0" fontId="42" fillId="0" borderId="35" xfId="0" applyFont="1" applyBorder="1" applyAlignment="1">
      <alignment horizontal="center" wrapText="1"/>
    </xf>
    <xf numFmtId="0" fontId="38" fillId="0" borderId="42" xfId="0" applyFont="1" applyBorder="1" applyAlignment="1">
      <alignment horizontal="center"/>
    </xf>
    <xf numFmtId="0" fontId="39" fillId="0" borderId="44" xfId="0" applyFont="1" applyBorder="1"/>
    <xf numFmtId="0" fontId="39" fillId="0" borderId="43" xfId="0" applyFont="1" applyBorder="1"/>
    <xf numFmtId="0" fontId="38" fillId="0" borderId="20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/>
    </xf>
    <xf numFmtId="0" fontId="39" fillId="0" borderId="18" xfId="0" applyFont="1" applyBorder="1"/>
    <xf numFmtId="0" fontId="39" fillId="0" borderId="19" xfId="0" applyFont="1" applyBorder="1"/>
    <xf numFmtId="0" fontId="35" fillId="0" borderId="17" xfId="0" applyFont="1" applyBorder="1" applyAlignment="1">
      <alignment horizontal="center"/>
    </xf>
    <xf numFmtId="0" fontId="1" fillId="0" borderId="46" xfId="0" applyFont="1" applyBorder="1" applyAlignment="1">
      <alignment horizontal="left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Ausgaben KTF 2025 in Mrd. 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C4-4576-BD16-B2A0C424B0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11-438A-AFCF-FAE9826992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207-4F26-AF1F-1B9ECD6E428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11-438A-AFCF-FAE9826992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A11-438A-AFCF-FAE9826992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A11-438A-AFCF-FAE98269925F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A11-438A-AFCF-FAE9826992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A11-438A-AFCF-FAE98269925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4A9-41B0-B609-DC5E95C60C0A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'KTF Ausgaben Stand 8-25'!$D$66:$D$74</c15:sqref>
                  </c15:fullRef>
                </c:ext>
              </c:extLst>
              <c:f>('KTF Ausgaben Stand 8-25'!$D$66:$D$72,'KTF Ausgaben Stand 8-25'!$D$74)</c:f>
              <c:strCache>
                <c:ptCount val="8"/>
                <c:pt idx="0">
                  <c:v>Gebäude</c:v>
                </c:pt>
                <c:pt idx="1">
                  <c:v>Gasspeicherumlage</c:v>
                </c:pt>
                <c:pt idx="2">
                  <c:v>Entlastung Wirtschaft</c:v>
                </c:pt>
                <c:pt idx="3">
                  <c:v>Chip-Fabriken</c:v>
                </c:pt>
                <c:pt idx="4">
                  <c:v>Mobilität</c:v>
                </c:pt>
                <c:pt idx="5">
                  <c:v>Wasserstoff</c:v>
                </c:pt>
                <c:pt idx="6">
                  <c:v>Defossilisierung Wirtschaft</c:v>
                </c:pt>
                <c:pt idx="7">
                  <c:v>Sonstiges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'KTF Ausgaben Stand 8-25'!$G$66:$G$74</c15:sqref>
                  </c15:fullRef>
                </c:ext>
              </c:extLst>
              <c:f>('KTF Ausgaben Stand 8-25'!$G$66:$G$72,'KTF Ausgaben Stand 8-25'!$G$74)</c:f>
              <c:numCache>
                <c:formatCode>#,##0.0</c:formatCode>
                <c:ptCount val="8"/>
                <c:pt idx="0">
                  <c:v>16.529112999999999</c:v>
                </c:pt>
                <c:pt idx="1">
                  <c:v>3.4</c:v>
                </c:pt>
                <c:pt idx="2">
                  <c:v>3.1653500000000001</c:v>
                </c:pt>
                <c:pt idx="3">
                  <c:v>2.9</c:v>
                </c:pt>
                <c:pt idx="4">
                  <c:v>2.8074789999999998</c:v>
                </c:pt>
                <c:pt idx="5">
                  <c:v>2.1130960000000001</c:v>
                </c:pt>
                <c:pt idx="6">
                  <c:v>1.7963169999999999</c:v>
                </c:pt>
                <c:pt idx="7">
                  <c:v>3.9919499999999926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'KTF Ausgaben Stand 8-25'!$G$73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84C4-4576-BD16-B2A0C424B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387833154789613"/>
          <c:y val="0.16088909418770284"/>
          <c:w val="0.39899775168540075"/>
          <c:h val="0.72359005778216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Soll 2024 - Entwürfe 2025 und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'KTF Ausgaben Stand 8-25'!$E$65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'KTF Ausgaben Stand 8-25'!$D$66:$D$73</c:f>
              <c:strCache>
                <c:ptCount val="8"/>
                <c:pt idx="0">
                  <c:v>Gebäude</c:v>
                </c:pt>
                <c:pt idx="1">
                  <c:v>Gasspeicherumlage</c:v>
                </c:pt>
                <c:pt idx="2">
                  <c:v>Entlastung Wirtschaft</c:v>
                </c:pt>
                <c:pt idx="3">
                  <c:v>Chip-Fabriken</c:v>
                </c:pt>
                <c:pt idx="4">
                  <c:v>Mobilität</c:v>
                </c:pt>
                <c:pt idx="5">
                  <c:v>Wasserstoff</c:v>
                </c:pt>
                <c:pt idx="6">
                  <c:v>Defossilisierung Wirtschaft</c:v>
                </c:pt>
                <c:pt idx="7">
                  <c:v>EEG-Differenzkosten</c:v>
                </c:pt>
              </c:strCache>
            </c:strRef>
          </c:cat>
          <c:val>
            <c:numRef>
              <c:f>'KTF Ausgaben Stand 8-25'!$E$66:$E$73</c:f>
              <c:numCache>
                <c:formatCode>#,##0.0</c:formatCode>
                <c:ptCount val="8"/>
                <c:pt idx="0">
                  <c:v>17.616527999999999</c:v>
                </c:pt>
                <c:pt idx="1">
                  <c:v>0</c:v>
                </c:pt>
                <c:pt idx="2">
                  <c:v>4.3877829999999998</c:v>
                </c:pt>
                <c:pt idx="3">
                  <c:v>4.8210569999999997</c:v>
                </c:pt>
                <c:pt idx="4">
                  <c:v>2.8059439999999998</c:v>
                </c:pt>
                <c:pt idx="5">
                  <c:v>2.9704820000000001</c:v>
                </c:pt>
                <c:pt idx="6">
                  <c:v>2.0249069999999998</c:v>
                </c:pt>
                <c:pt idx="7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2A-4110-8424-75095F4B6502}"/>
            </c:ext>
          </c:extLst>
        </c:ser>
        <c:ser>
          <c:idx val="0"/>
          <c:order val="1"/>
          <c:tx>
            <c:strRef>
              <c:f>'KTF Ausgaben Stand 8-25'!$G$65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'KTF Ausgaben Stand 8-25'!$D$66:$D$73</c:f>
              <c:strCache>
                <c:ptCount val="8"/>
                <c:pt idx="0">
                  <c:v>Gebäude</c:v>
                </c:pt>
                <c:pt idx="1">
                  <c:v>Gasspeicherumlage</c:v>
                </c:pt>
                <c:pt idx="2">
                  <c:v>Entlastung Wirtschaft</c:v>
                </c:pt>
                <c:pt idx="3">
                  <c:v>Chip-Fabriken</c:v>
                </c:pt>
                <c:pt idx="4">
                  <c:v>Mobilität</c:v>
                </c:pt>
                <c:pt idx="5">
                  <c:v>Wasserstoff</c:v>
                </c:pt>
                <c:pt idx="6">
                  <c:v>Defossilisierung Wirtschaft</c:v>
                </c:pt>
                <c:pt idx="7">
                  <c:v>EEG-Differenzkosten</c:v>
                </c:pt>
              </c:strCache>
            </c:strRef>
          </c:cat>
          <c:val>
            <c:numRef>
              <c:f>'KTF Ausgaben Stand 8-25'!$G$66:$G$73</c:f>
              <c:numCache>
                <c:formatCode>#,##0.0</c:formatCode>
                <c:ptCount val="8"/>
                <c:pt idx="0">
                  <c:v>16.529112999999999</c:v>
                </c:pt>
                <c:pt idx="1">
                  <c:v>3.4</c:v>
                </c:pt>
                <c:pt idx="2">
                  <c:v>3.1653500000000001</c:v>
                </c:pt>
                <c:pt idx="3">
                  <c:v>2.9</c:v>
                </c:pt>
                <c:pt idx="4">
                  <c:v>2.8074789999999998</c:v>
                </c:pt>
                <c:pt idx="5">
                  <c:v>2.1130960000000001</c:v>
                </c:pt>
                <c:pt idx="6">
                  <c:v>1.7963169999999999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A-4110-8424-75095F4B6502}"/>
            </c:ext>
          </c:extLst>
        </c:ser>
        <c:ser>
          <c:idx val="2"/>
          <c:order val="2"/>
          <c:tx>
            <c:strRef>
              <c:f>'KTF Ausgaben Stand 8-25'!$H$65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'KTF Ausgaben Stand 8-25'!$H$66:$H$73</c:f>
              <c:numCache>
                <c:formatCode>#,##0.0</c:formatCode>
                <c:ptCount val="8"/>
                <c:pt idx="0">
                  <c:v>12.277999999999999</c:v>
                </c:pt>
                <c:pt idx="1">
                  <c:v>0</c:v>
                </c:pt>
                <c:pt idx="2">
                  <c:v>9.7940000000000005</c:v>
                </c:pt>
                <c:pt idx="3">
                  <c:v>0</c:v>
                </c:pt>
                <c:pt idx="4">
                  <c:v>3.0482939999999998</c:v>
                </c:pt>
                <c:pt idx="5">
                  <c:v>3.0960000000000005</c:v>
                </c:pt>
                <c:pt idx="6">
                  <c:v>2.194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1A-4909-9D6F-99DE4EB3E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0558975"/>
        <c:axId val="550557535"/>
      </c:barChart>
      <c:catAx>
        <c:axId val="55055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557535"/>
        <c:crosses val="autoZero"/>
        <c:auto val="1"/>
        <c:lblAlgn val="ctr"/>
        <c:lblOffset val="100"/>
        <c:noMultiLvlLbl val="0"/>
      </c:catAx>
      <c:valAx>
        <c:axId val="550557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Mrd.</a:t>
                </a:r>
                <a:r>
                  <a:rPr lang="de-DE" baseline="0"/>
                  <a:t> €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0558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Programmausgaben</a:t>
            </a:r>
            <a:r>
              <a:rPr lang="de-DE" baseline="0"/>
              <a:t> lt. Kabinettsentwurf 7/25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'KTF Ausgaben Stand 8-25'!$E$121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8-25'!$E$122:$E$130</c:f>
              <c:numCache>
                <c:formatCode>#,##0.0</c:formatCode>
                <c:ptCount val="9"/>
                <c:pt idx="0">
                  <c:v>16.926442000000002</c:v>
                </c:pt>
                <c:pt idx="1">
                  <c:v>6.5653499999999996</c:v>
                </c:pt>
                <c:pt idx="2">
                  <c:v>3.1792220000000002</c:v>
                </c:pt>
                <c:pt idx="3">
                  <c:v>2.144129</c:v>
                </c:pt>
                <c:pt idx="4">
                  <c:v>4.7893239999999997</c:v>
                </c:pt>
                <c:pt idx="5">
                  <c:v>0.99965599999999999</c:v>
                </c:pt>
                <c:pt idx="6">
                  <c:v>0.83796700000000002</c:v>
                </c:pt>
                <c:pt idx="7">
                  <c:v>0.73499999999999999</c:v>
                </c:pt>
                <c:pt idx="8">
                  <c:v>0.45797399999999999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1-41FB-B4E7-A62CCE451CE3}"/>
            </c:ext>
          </c:extLst>
        </c:ser>
        <c:ser>
          <c:idx val="1"/>
          <c:order val="1"/>
          <c:tx>
            <c:strRef>
              <c:f>'KTF Ausgaben Stand 8-25'!$F$121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8-25'!$F$122:$F$130</c:f>
              <c:numCache>
                <c:formatCode>#,##0.0</c:formatCode>
                <c:ptCount val="9"/>
                <c:pt idx="0">
                  <c:v>12.564456</c:v>
                </c:pt>
                <c:pt idx="1">
                  <c:v>9.793901</c:v>
                </c:pt>
                <c:pt idx="2">
                  <c:v>3.4776289999999999</c:v>
                </c:pt>
                <c:pt idx="3">
                  <c:v>2.9872969999999999</c:v>
                </c:pt>
                <c:pt idx="4">
                  <c:v>2.7295569999999998</c:v>
                </c:pt>
                <c:pt idx="5">
                  <c:v>1.7469779999999999</c:v>
                </c:pt>
                <c:pt idx="6">
                  <c:v>1.000243</c:v>
                </c:pt>
                <c:pt idx="7">
                  <c:v>0.76607800000000004</c:v>
                </c:pt>
                <c:pt idx="8">
                  <c:v>0.59466699999999995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21-41FB-B4E7-A62CCE451CE3}"/>
            </c:ext>
          </c:extLst>
        </c:ser>
        <c:ser>
          <c:idx val="2"/>
          <c:order val="2"/>
          <c:tx>
            <c:strRef>
              <c:f>'KTF Ausgaben Stand 8-25'!$G$121</c:f>
              <c:strCache>
                <c:ptCount val="1"/>
                <c:pt idx="0">
                  <c:v>2027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8-25'!$G$122:$G$130</c:f>
              <c:numCache>
                <c:formatCode>#,##0.0</c:formatCode>
                <c:ptCount val="9"/>
                <c:pt idx="0">
                  <c:v>11.638096000000001</c:v>
                </c:pt>
                <c:pt idx="1">
                  <c:v>10.326357</c:v>
                </c:pt>
                <c:pt idx="2">
                  <c:v>3.2389519999999998</c:v>
                </c:pt>
                <c:pt idx="3">
                  <c:v>3.363216</c:v>
                </c:pt>
                <c:pt idx="4">
                  <c:v>3.5176069999999999</c:v>
                </c:pt>
                <c:pt idx="5">
                  <c:v>2.01065</c:v>
                </c:pt>
                <c:pt idx="6">
                  <c:v>1.193819</c:v>
                </c:pt>
                <c:pt idx="7">
                  <c:v>0.76636700000000002</c:v>
                </c:pt>
                <c:pt idx="8">
                  <c:v>0.61520399999999997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21-41FB-B4E7-A62CCE451CE3}"/>
            </c:ext>
          </c:extLst>
        </c:ser>
        <c:ser>
          <c:idx val="3"/>
          <c:order val="3"/>
          <c:tx>
            <c:strRef>
              <c:f>'KTF Ausgaben Stand 8-25'!$H$121</c:f>
              <c:strCache>
                <c:ptCount val="1"/>
                <c:pt idx="0">
                  <c:v>2028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8-25'!$H$122:$H$130</c:f>
              <c:numCache>
                <c:formatCode>#,##0.0</c:formatCode>
                <c:ptCount val="9"/>
                <c:pt idx="0">
                  <c:v>11.920332</c:v>
                </c:pt>
                <c:pt idx="1">
                  <c:v>10.767445</c:v>
                </c:pt>
                <c:pt idx="2">
                  <c:v>3.5776810000000001</c:v>
                </c:pt>
                <c:pt idx="3">
                  <c:v>3.6184159999999999</c:v>
                </c:pt>
                <c:pt idx="4">
                  <c:v>4.2279619999999998</c:v>
                </c:pt>
                <c:pt idx="5">
                  <c:v>2.1380750000000002</c:v>
                </c:pt>
                <c:pt idx="6">
                  <c:v>1.3917060000000001</c:v>
                </c:pt>
                <c:pt idx="7">
                  <c:v>0.76632800000000001</c:v>
                </c:pt>
                <c:pt idx="8">
                  <c:v>0.61036100000000004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21-41FB-B4E7-A62CCE451CE3}"/>
            </c:ext>
          </c:extLst>
        </c:ser>
        <c:ser>
          <c:idx val="4"/>
          <c:order val="4"/>
          <c:tx>
            <c:strRef>
              <c:f>'KTF Ausgaben Stand 8-25'!$I$121</c:f>
              <c:strCache>
                <c:ptCount val="1"/>
                <c:pt idx="0">
                  <c:v>2029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8-25'!$I$122:$I$130</c:f>
              <c:numCache>
                <c:formatCode>#,##0.0</c:formatCode>
                <c:ptCount val="9"/>
                <c:pt idx="0">
                  <c:v>12.258680999999999</c:v>
                </c:pt>
                <c:pt idx="1">
                  <c:v>10.797529000000001</c:v>
                </c:pt>
                <c:pt idx="2">
                  <c:v>3.5682740000000002</c:v>
                </c:pt>
                <c:pt idx="3">
                  <c:v>3.3950109999999998</c:v>
                </c:pt>
                <c:pt idx="4">
                  <c:v>4.3999610000000002</c:v>
                </c:pt>
                <c:pt idx="5">
                  <c:v>2.318975</c:v>
                </c:pt>
                <c:pt idx="6">
                  <c:v>1.3917060000000001</c:v>
                </c:pt>
                <c:pt idx="7">
                  <c:v>0.76632800000000001</c:v>
                </c:pt>
                <c:pt idx="8">
                  <c:v>0.61036100000000004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21-41FB-B4E7-A62CCE451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437583"/>
        <c:axId val="448440463"/>
      </c:barChart>
      <c:catAx>
        <c:axId val="44843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8440463"/>
        <c:crosses val="autoZero"/>
        <c:auto val="1"/>
        <c:lblAlgn val="ctr"/>
        <c:lblOffset val="100"/>
        <c:noMultiLvlLbl val="0"/>
      </c:catAx>
      <c:valAx>
        <c:axId val="448440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48437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Programmausgaben 2025 in Mrd. 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864-4C2A-A072-46FB223AF1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864-4C2A-A072-46FB223AF1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864-4C2A-A072-46FB223AF11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864-4C2A-A072-46FB223AF11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864-4C2A-A072-46FB223AF11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864-4C2A-A072-46FB223AF11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864-4C2A-A072-46FB223AF11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864-4C2A-A072-46FB223AF11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864-4C2A-A072-46FB223AF11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'KTF Ausgaben Stand 8-25'!$D$122:$D$130</c:f>
              <c:strCache>
                <c:ptCount val="9"/>
                <c:pt idx="0">
                  <c:v>Klimaschutz im Gebäudebereich </c:v>
                </c:pt>
                <c:pt idx="1">
                  <c:v>Entlastungen bei Energiekosten </c:v>
                </c:pt>
                <c:pt idx="2">
                  <c:v>Klimafreundliche Mobilität </c:v>
                </c:pt>
                <c:pt idx="3">
                  <c:v>Hochlauf Wasserstoffwirtschaft </c:v>
                </c:pt>
                <c:pt idx="4">
                  <c:v>Transformation der Industrie </c:v>
                </c:pt>
                <c:pt idx="5">
                  <c:v>Klimafreundliche Energieversorgung</c:v>
                </c:pt>
                <c:pt idx="6">
                  <c:v>Natürlicher Klimaschutz und Klimaanpassung</c:v>
                </c:pt>
                <c:pt idx="7">
                  <c:v>Internationaler Klimaschutz</c:v>
                </c:pt>
                <c:pt idx="8">
                  <c:v>Sonstige Klimaschutzmaßnahmen </c:v>
                </c:pt>
              </c:strCache>
            </c:strRef>
          </c:cat>
          <c:val>
            <c:numRef>
              <c:f>'KTF Ausgaben Stand 8-25'!$E$122:$E$130</c:f>
              <c:numCache>
                <c:formatCode>#,##0.0</c:formatCode>
                <c:ptCount val="9"/>
                <c:pt idx="0">
                  <c:v>16.926442000000002</c:v>
                </c:pt>
                <c:pt idx="1">
                  <c:v>6.5653499999999996</c:v>
                </c:pt>
                <c:pt idx="2">
                  <c:v>3.1792220000000002</c:v>
                </c:pt>
                <c:pt idx="3">
                  <c:v>2.144129</c:v>
                </c:pt>
                <c:pt idx="4">
                  <c:v>4.7893239999999997</c:v>
                </c:pt>
                <c:pt idx="5">
                  <c:v>0.99965599999999999</c:v>
                </c:pt>
                <c:pt idx="6">
                  <c:v>0.83796700000000002</c:v>
                </c:pt>
                <c:pt idx="7">
                  <c:v>0.73499999999999999</c:v>
                </c:pt>
                <c:pt idx="8">
                  <c:v>0.45797399999999999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D9-4F7B-B282-40B4F550E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Geplante Ausgaben KTF Stand 8/24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'KTF Ausg 1. Entwurf BH25'!$D$4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'KTF Ausg 1. Entwurf BH25'!$B$5:$B$18</c:f>
              <c:strCache>
                <c:ptCount val="14"/>
                <c:pt idx="0">
                  <c:v>Gebäude</c:v>
                </c:pt>
                <c:pt idx="1">
                  <c:v>EEG-Differenzkosten</c:v>
                </c:pt>
                <c:pt idx="2">
                  <c:v>Mikroelektronik</c:v>
                </c:pt>
                <c:pt idx="3">
                  <c:v>Strompreiskompensation</c:v>
                </c:pt>
                <c:pt idx="4">
                  <c:v>Energieeffizienz Industrie/Gewerbe</c:v>
                </c:pt>
                <c:pt idx="5">
                  <c:v>Dekarbonisierung Industrie</c:v>
                </c:pt>
                <c:pt idx="6">
                  <c:v>Wasserstoff Industrie</c:v>
                </c:pt>
                <c:pt idx="7">
                  <c:v>Wasserstoffstrategie</c:v>
                </c:pt>
                <c:pt idx="8">
                  <c:v>Wäremnetze</c:v>
                </c:pt>
                <c:pt idx="9">
                  <c:v>E-Autos</c:v>
                </c:pt>
                <c:pt idx="10">
                  <c:v>Ladeinfrastruktur</c:v>
                </c:pt>
                <c:pt idx="11">
                  <c:v>Nutzfahrzeuge</c:v>
                </c:pt>
                <c:pt idx="12">
                  <c:v>Busse</c:v>
                </c:pt>
                <c:pt idx="13">
                  <c:v>Sonstiges</c:v>
                </c:pt>
              </c:strCache>
            </c:strRef>
          </c:cat>
          <c:val>
            <c:numRef>
              <c:f>'KTF Ausg 1. Entwurf BH25'!$D$5:$D$18</c:f>
              <c:numCache>
                <c:formatCode>0.0</c:formatCode>
                <c:ptCount val="14"/>
                <c:pt idx="0">
                  <c:v>16.5</c:v>
                </c:pt>
                <c:pt idx="1">
                  <c:v>19.399999999999999</c:v>
                </c:pt>
                <c:pt idx="2">
                  <c:v>4.8</c:v>
                </c:pt>
                <c:pt idx="3">
                  <c:v>3.9</c:v>
                </c:pt>
                <c:pt idx="4">
                  <c:v>0.9</c:v>
                </c:pt>
                <c:pt idx="5">
                  <c:v>0.7</c:v>
                </c:pt>
                <c:pt idx="6">
                  <c:v>1.3</c:v>
                </c:pt>
                <c:pt idx="7">
                  <c:v>0.6</c:v>
                </c:pt>
                <c:pt idx="8">
                  <c:v>0.8</c:v>
                </c:pt>
                <c:pt idx="9">
                  <c:v>0.2</c:v>
                </c:pt>
                <c:pt idx="10">
                  <c:v>1.8</c:v>
                </c:pt>
                <c:pt idx="11" formatCode="General">
                  <c:v>0.3</c:v>
                </c:pt>
                <c:pt idx="12" formatCode="General">
                  <c:v>0.5</c:v>
                </c:pt>
                <c:pt idx="13">
                  <c:v>6.2066640000000106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18-4F27-81C5-B26A22881B6D}"/>
            </c:ext>
          </c:extLst>
        </c:ser>
        <c:ser>
          <c:idx val="0"/>
          <c:order val="1"/>
          <c:tx>
            <c:strRef>
              <c:f>'KTF Ausg 1. Entwurf BH25'!$C$4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'KTF Ausg 1. Entwurf BH25'!$B$5:$B$18</c:f>
              <c:strCache>
                <c:ptCount val="14"/>
                <c:pt idx="0">
                  <c:v>Gebäude</c:v>
                </c:pt>
                <c:pt idx="1">
                  <c:v>EEG-Differenzkosten</c:v>
                </c:pt>
                <c:pt idx="2">
                  <c:v>Mikroelektronik</c:v>
                </c:pt>
                <c:pt idx="3">
                  <c:v>Strompreiskompensation</c:v>
                </c:pt>
                <c:pt idx="4">
                  <c:v>Energieeffizienz Industrie/Gewerbe</c:v>
                </c:pt>
                <c:pt idx="5">
                  <c:v>Dekarbonisierung Industrie</c:v>
                </c:pt>
                <c:pt idx="6">
                  <c:v>Wasserstoff Industrie</c:v>
                </c:pt>
                <c:pt idx="7">
                  <c:v>Wasserstoffstrategie</c:v>
                </c:pt>
                <c:pt idx="8">
                  <c:v>Wäremnetze</c:v>
                </c:pt>
                <c:pt idx="9">
                  <c:v>E-Autos</c:v>
                </c:pt>
                <c:pt idx="10">
                  <c:v>Ladeinfrastruktur</c:v>
                </c:pt>
                <c:pt idx="11">
                  <c:v>Nutzfahrzeuge</c:v>
                </c:pt>
                <c:pt idx="12">
                  <c:v>Busse</c:v>
                </c:pt>
                <c:pt idx="13">
                  <c:v>Sonstiges</c:v>
                </c:pt>
              </c:strCache>
            </c:strRef>
          </c:cat>
          <c:val>
            <c:numRef>
              <c:f>'KTF Ausg 1. Entwurf BH25'!$C$5:$C$18</c:f>
              <c:numCache>
                <c:formatCode>0.0</c:formatCode>
                <c:ptCount val="14"/>
                <c:pt idx="0">
                  <c:v>14.4</c:v>
                </c:pt>
                <c:pt idx="1">
                  <c:v>0</c:v>
                </c:pt>
                <c:pt idx="2">
                  <c:v>4.9000000000000004</c:v>
                </c:pt>
                <c:pt idx="3">
                  <c:v>3.3</c:v>
                </c:pt>
                <c:pt idx="4">
                  <c:v>0.8</c:v>
                </c:pt>
                <c:pt idx="5">
                  <c:v>0.6</c:v>
                </c:pt>
                <c:pt idx="6">
                  <c:v>1.2</c:v>
                </c:pt>
                <c:pt idx="7">
                  <c:v>0.5</c:v>
                </c:pt>
                <c:pt idx="8">
                  <c:v>1</c:v>
                </c:pt>
                <c:pt idx="9">
                  <c:v>0</c:v>
                </c:pt>
                <c:pt idx="10">
                  <c:v>1.6</c:v>
                </c:pt>
                <c:pt idx="11" formatCode="General">
                  <c:v>0.4</c:v>
                </c:pt>
                <c:pt idx="12" formatCode="General">
                  <c:v>0.5</c:v>
                </c:pt>
                <c:pt idx="13">
                  <c:v>5.269999999999996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18-4F27-81C5-B26A22881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574736"/>
        <c:axId val="131578576"/>
      </c:barChart>
      <c:catAx>
        <c:axId val="13157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1578576"/>
        <c:crosses val="autoZero"/>
        <c:auto val="1"/>
        <c:lblAlgn val="ctr"/>
        <c:lblOffset val="100"/>
        <c:noMultiLvlLbl val="0"/>
      </c:catAx>
      <c:valAx>
        <c:axId val="13157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Mrd. €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157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Geplante Ausgaben KTF 2025 Stand 8/24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09-49E3-BC71-6858127CA6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09-49E3-BC71-6858127CA6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09-49E3-BC71-6858127CA6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09-49E3-BC71-6858127CA6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09-49E3-BC71-6858127CA6F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09-49E3-BC71-6858127CA6F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09-49E3-BC71-6858127CA6F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F09-49E3-BC71-6858127CA6F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F09-49E3-BC71-6858127CA6F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F09-49E3-BC71-6858127CA6F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F09-49E3-BC71-6858127CA6F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F09-49E3-BC71-6858127CA6F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F09-49E3-BC71-6858127CA6FC}"/>
              </c:ext>
            </c:extLst>
          </c:dPt>
          <c:dPt>
            <c:idx val="13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F09-49E3-BC71-6858127CA6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'KTF Ausg 1. Entwurf BH25'!$B$5:$B$18</c:f>
              <c:strCache>
                <c:ptCount val="14"/>
                <c:pt idx="0">
                  <c:v>Gebäude</c:v>
                </c:pt>
                <c:pt idx="1">
                  <c:v>EEG-Differenzkosten</c:v>
                </c:pt>
                <c:pt idx="2">
                  <c:v>Mikroelektronik</c:v>
                </c:pt>
                <c:pt idx="3">
                  <c:v>Strompreiskompensation</c:v>
                </c:pt>
                <c:pt idx="4">
                  <c:v>Energieeffizienz Industrie/Gewerbe</c:v>
                </c:pt>
                <c:pt idx="5">
                  <c:v>Dekarbonisierung Industrie</c:v>
                </c:pt>
                <c:pt idx="6">
                  <c:v>Wasserstoff Industrie</c:v>
                </c:pt>
                <c:pt idx="7">
                  <c:v>Wasserstoffstrategie</c:v>
                </c:pt>
                <c:pt idx="8">
                  <c:v>Wäremnetze</c:v>
                </c:pt>
                <c:pt idx="9">
                  <c:v>E-Autos</c:v>
                </c:pt>
                <c:pt idx="10">
                  <c:v>Ladeinfrastruktur</c:v>
                </c:pt>
                <c:pt idx="11">
                  <c:v>Nutzfahrzeuge</c:v>
                </c:pt>
                <c:pt idx="12">
                  <c:v>Busse</c:v>
                </c:pt>
                <c:pt idx="13">
                  <c:v>Sonstiges</c:v>
                </c:pt>
              </c:strCache>
            </c:strRef>
          </c:cat>
          <c:val>
            <c:numRef>
              <c:f>'KTF Ausg 1. Entwurf BH25'!$C$5:$C$18</c:f>
              <c:numCache>
                <c:formatCode>0.0</c:formatCode>
                <c:ptCount val="14"/>
                <c:pt idx="0">
                  <c:v>14.4</c:v>
                </c:pt>
                <c:pt idx="1">
                  <c:v>0</c:v>
                </c:pt>
                <c:pt idx="2">
                  <c:v>4.9000000000000004</c:v>
                </c:pt>
                <c:pt idx="3">
                  <c:v>3.3</c:v>
                </c:pt>
                <c:pt idx="4">
                  <c:v>0.8</c:v>
                </c:pt>
                <c:pt idx="5">
                  <c:v>0.6</c:v>
                </c:pt>
                <c:pt idx="6">
                  <c:v>1.2</c:v>
                </c:pt>
                <c:pt idx="7">
                  <c:v>0.5</c:v>
                </c:pt>
                <c:pt idx="8">
                  <c:v>1</c:v>
                </c:pt>
                <c:pt idx="9">
                  <c:v>0</c:v>
                </c:pt>
                <c:pt idx="10">
                  <c:v>1.6</c:v>
                </c:pt>
                <c:pt idx="11" formatCode="General">
                  <c:v>0.4</c:v>
                </c:pt>
                <c:pt idx="12" formatCode="General">
                  <c:v>0.5</c:v>
                </c:pt>
                <c:pt idx="13">
                  <c:v>5.269999999999996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D-47EA-A111-85B874E43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400"/>
            </a:pPr>
            <a:r>
              <a:rPr lang="de-DE" sz="1400"/>
              <a:t>Geplante Ausgaben KTF Stand 11/23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1-D715-4E79-AFDE-9499BD8F6C76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D715-4E79-AFDE-9499BD8F6C76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D715-4E79-AFDE-9499BD8F6C76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D715-4E79-AFDE-9499BD8F6C76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9-D715-4E79-AFDE-9499BD8F6C76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D715-4E79-AFDE-9499BD8F6C76}"/>
              </c:ext>
            </c:extLst>
          </c:dPt>
          <c:dPt>
            <c:idx val="6"/>
            <c:bubble3D val="0"/>
            <c:spPr>
              <a:solidFill>
                <a:srgbClr val="7C9CD6"/>
              </a:solidFill>
            </c:spPr>
            <c:extLst>
              <c:ext xmlns:c16="http://schemas.microsoft.com/office/drawing/2014/chart" uri="{C3380CC4-5D6E-409C-BE32-E72D297353CC}">
                <c16:uniqueId val="{0000000D-D715-4E79-AFDE-9499BD8F6C76}"/>
              </c:ext>
            </c:extLst>
          </c:dPt>
          <c:dPt>
            <c:idx val="7"/>
            <c:bubble3D val="0"/>
            <c:spPr>
              <a:solidFill>
                <a:srgbClr val="F2A46F"/>
              </a:solidFill>
            </c:spPr>
            <c:extLst>
              <c:ext xmlns:c16="http://schemas.microsoft.com/office/drawing/2014/chart" uri="{C3380CC4-5D6E-409C-BE32-E72D297353CC}">
                <c16:uniqueId val="{0000000F-D715-4E79-AFDE-9499BD8F6C76}"/>
              </c:ext>
            </c:extLst>
          </c:dPt>
          <c:dPt>
            <c:idx val="8"/>
            <c:bubble3D val="0"/>
            <c:spPr>
              <a:solidFill>
                <a:srgbClr val="C0C0C0"/>
              </a:solidFill>
            </c:spPr>
            <c:extLst>
              <c:ext xmlns:c16="http://schemas.microsoft.com/office/drawing/2014/chart" uri="{C3380CC4-5D6E-409C-BE32-E72D297353CC}">
                <c16:uniqueId val="{00000011-D715-4E79-AFDE-9499BD8F6C76}"/>
              </c:ext>
            </c:extLst>
          </c:dPt>
          <c:dPt>
            <c:idx val="9"/>
            <c:bubble3D val="0"/>
            <c:spPr>
              <a:solidFill>
                <a:srgbClr val="FFD34D"/>
              </a:solidFill>
            </c:spPr>
            <c:extLst>
              <c:ext xmlns:c16="http://schemas.microsoft.com/office/drawing/2014/chart" uri="{C3380CC4-5D6E-409C-BE32-E72D297353CC}">
                <c16:uniqueId val="{00000013-D715-4E79-AFDE-9499BD8F6C7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'KTF Ausg Entwurf 24'!$B$4:$B$13</c:f>
              <c:strCache>
                <c:ptCount val="10"/>
                <c:pt idx="0">
                  <c:v>Förderung energieeffiziente Gebäude und Heizungen</c:v>
                </c:pt>
                <c:pt idx="1">
                  <c:v>EEG-Differenzkosten</c:v>
                </c:pt>
                <c:pt idx="2">
                  <c:v>Förderung Mikroelektronik (Chipfabriken)</c:v>
                </c:pt>
                <c:pt idx="3">
                  <c:v>Förderung Eisenbahninfrastruktur</c:v>
                </c:pt>
                <c:pt idx="4">
                  <c:v>Förderung Wasserstoffwirtschaft</c:v>
                </c:pt>
                <c:pt idx="5">
                  <c:v>Strompreiskompensation für Unternehmen</c:v>
                </c:pt>
                <c:pt idx="6">
                  <c:v>Förderung Elektormobilität + Ladeinfrastruktur</c:v>
                </c:pt>
                <c:pt idx="7">
                  <c:v>Förderung Energieeffizienz in Industrie und Gewerbe</c:v>
                </c:pt>
                <c:pt idx="8">
                  <c:v>Transformation der Wärmenetze</c:v>
                </c:pt>
                <c:pt idx="9">
                  <c:v>Sonstiges</c:v>
                </c:pt>
              </c:strCache>
            </c:strRef>
          </c:cat>
          <c:val>
            <c:numRef>
              <c:f>'KTF Ausg Entwurf 24'!$C$4:$C$13</c:f>
              <c:numCache>
                <c:formatCode>General</c:formatCode>
                <c:ptCount val="10"/>
                <c:pt idx="0">
                  <c:v>18.8</c:v>
                </c:pt>
                <c:pt idx="1">
                  <c:v>12.6</c:v>
                </c:pt>
                <c:pt idx="2">
                  <c:v>4.0999999999999996</c:v>
                </c:pt>
                <c:pt idx="3" formatCode="0.0">
                  <c:v>4</c:v>
                </c:pt>
                <c:pt idx="4">
                  <c:v>3.7</c:v>
                </c:pt>
                <c:pt idx="5">
                  <c:v>2.6</c:v>
                </c:pt>
                <c:pt idx="6">
                  <c:v>4.7</c:v>
                </c:pt>
                <c:pt idx="7">
                  <c:v>0.9</c:v>
                </c:pt>
                <c:pt idx="8">
                  <c:v>0.8</c:v>
                </c:pt>
                <c:pt idx="9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715-4E79-AFDE-9499BD8F6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de-DE"/>
        </a:p>
      </c:txPr>
    </c:legend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image" Target="../media/image1.png"/><Relationship Id="rId7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740</xdr:rowOff>
    </xdr:from>
    <xdr:to>
      <xdr:col>4</xdr:col>
      <xdr:colOff>370800</xdr:colOff>
      <xdr:row>17</xdr:row>
      <xdr:rowOff>7866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DCDDE01-5E7C-2D33-3DF3-930B35ECDA2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395654</xdr:colOff>
      <xdr:row>2</xdr:row>
      <xdr:rowOff>225667</xdr:rowOff>
    </xdr:from>
    <xdr:to>
      <xdr:col>11</xdr:col>
      <xdr:colOff>1528454</xdr:colOff>
      <xdr:row>16</xdr:row>
      <xdr:rowOff>180975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C6A3F1A-50B9-456A-E5FE-347EF1D9039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798636</xdr:colOff>
      <xdr:row>76</xdr:row>
      <xdr:rowOff>186836</xdr:rowOff>
    </xdr:from>
    <xdr:to>
      <xdr:col>19</xdr:col>
      <xdr:colOff>393665</xdr:colOff>
      <xdr:row>89</xdr:row>
      <xdr:rowOff>6183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CAD01C8-62CC-44CC-EFFA-75178101C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66486" y="16541261"/>
          <a:ext cx="6748304" cy="2305372"/>
        </a:xfrm>
        <a:prstGeom prst="rect">
          <a:avLst/>
        </a:prstGeom>
      </xdr:spPr>
    </xdr:pic>
    <xdr:clientData/>
  </xdr:twoCellAnchor>
  <xdr:twoCellAnchor editAs="oneCell">
    <xdr:from>
      <xdr:col>11</xdr:col>
      <xdr:colOff>803031</xdr:colOff>
      <xdr:row>88</xdr:row>
      <xdr:rowOff>27842</xdr:rowOff>
    </xdr:from>
    <xdr:to>
      <xdr:col>19</xdr:col>
      <xdr:colOff>540955</xdr:colOff>
      <xdr:row>133</xdr:row>
      <xdr:rowOff>460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014B949-B3B9-A059-4E8E-D418CF69C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70881" y="18677792"/>
          <a:ext cx="6891199" cy="8545118"/>
        </a:xfrm>
        <a:prstGeom prst="rect">
          <a:avLst/>
        </a:prstGeom>
      </xdr:spPr>
    </xdr:pic>
    <xdr:clientData/>
  </xdr:twoCellAnchor>
  <xdr:twoCellAnchor editAs="oneCell">
    <xdr:from>
      <xdr:col>11</xdr:col>
      <xdr:colOff>805229</xdr:colOff>
      <xdr:row>131</xdr:row>
      <xdr:rowOff>187570</xdr:rowOff>
    </xdr:from>
    <xdr:to>
      <xdr:col>19</xdr:col>
      <xdr:colOff>314521</xdr:colOff>
      <xdr:row>172</xdr:row>
      <xdr:rowOff>64898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ADA7B41-FC37-287E-96BA-3D6E5BD5A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73079" y="27029020"/>
          <a:ext cx="6662567" cy="8259328"/>
        </a:xfrm>
        <a:prstGeom prst="rect">
          <a:avLst/>
        </a:prstGeom>
      </xdr:spPr>
    </xdr:pic>
    <xdr:clientData/>
  </xdr:twoCellAnchor>
  <xdr:twoCellAnchor editAs="oneCell">
    <xdr:from>
      <xdr:col>11</xdr:col>
      <xdr:colOff>814755</xdr:colOff>
      <xdr:row>172</xdr:row>
      <xdr:rowOff>114300</xdr:rowOff>
    </xdr:from>
    <xdr:to>
      <xdr:col>19</xdr:col>
      <xdr:colOff>352626</xdr:colOff>
      <xdr:row>186</xdr:row>
      <xdr:rowOff>57514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28A95491-F4D2-5FB0-DB7E-155AD6026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82605" y="35147250"/>
          <a:ext cx="6691146" cy="2610214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96</xdr:row>
      <xdr:rowOff>0</xdr:rowOff>
    </xdr:from>
    <xdr:to>
      <xdr:col>11</xdr:col>
      <xdr:colOff>533400</xdr:colOff>
      <xdr:row>118</xdr:row>
      <xdr:rowOff>66675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8E5FF4C2-E815-4F22-4DAE-7290FE89E9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161924</xdr:colOff>
      <xdr:row>79</xdr:row>
      <xdr:rowOff>9524</xdr:rowOff>
    </xdr:from>
    <xdr:to>
      <xdr:col>11</xdr:col>
      <xdr:colOff>476249</xdr:colOff>
      <xdr:row>95</xdr:row>
      <xdr:rowOff>76199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893BFBDD-087E-8645-643A-A9851BE279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</xdr:colOff>
      <xdr:row>31</xdr:row>
      <xdr:rowOff>1589</xdr:rowOff>
    </xdr:from>
    <xdr:to>
      <xdr:col>10</xdr:col>
      <xdr:colOff>309561</xdr:colOff>
      <xdr:row>49</xdr:row>
      <xdr:rowOff>166689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07072C3-CFDB-F16D-74A1-28B2A2BA93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7936</xdr:colOff>
      <xdr:row>50</xdr:row>
      <xdr:rowOff>65086</xdr:rowOff>
    </xdr:from>
    <xdr:to>
      <xdr:col>10</xdr:col>
      <xdr:colOff>325438</xdr:colOff>
      <xdr:row>73</xdr:row>
      <xdr:rowOff>39687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97AF6B7-7A84-F5C9-F2C8-7513D7D388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47626</xdr:colOff>
      <xdr:row>14</xdr:row>
      <xdr:rowOff>152401</xdr:rowOff>
    </xdr:from>
    <xdr:ext cx="7448550" cy="3514724"/>
    <xdr:graphicFrame macro="">
      <xdr:nvGraphicFramePr>
        <xdr:cNvPr id="1259720868" name="Chart 1" title="Diagramm">
          <a:extLst>
            <a:ext uri="{FF2B5EF4-FFF2-40B4-BE49-F238E27FC236}">
              <a16:creationId xmlns:a16="http://schemas.microsoft.com/office/drawing/2014/main" id="{00000000-0008-0000-0400-0000A4D015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mweltbundesamt.de/presse/pressemitteilungen/emissionshandel-21-milliarden-euro-fliessen-in-den" TargetMode="External"/><Relationship Id="rId2" Type="http://schemas.openxmlformats.org/officeDocument/2006/relationships/hyperlink" Target="https://klima-retten.info/PDF/epl60_2EBH25.pdf" TargetMode="External"/><Relationship Id="rId1" Type="http://schemas.openxmlformats.org/officeDocument/2006/relationships/hyperlink" Target="https://klima-retten.info/PDF/epl60_2EBH25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background.tagesspiegel.de/energie-und-klima/briefing/e-mobilitaetspraemie-im-tausch-gegen-einsparungen-im-klimafond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lima-retten.info/PDF/250728_KabV_Haushaltentwurf_202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able.media/climate/news/eeg-kosten-hoeher-als-geplant-aber-niedriger-als-befuerchtet" TargetMode="External"/><Relationship Id="rId1" Type="http://schemas.openxmlformats.org/officeDocument/2006/relationships/hyperlink" Target="https://table.media/climate/news/eeg-kosten-hoeher-als-geplant-aber-niedriger-als-befuerchtet" TargetMode="External"/><Relationship Id="rId6" Type="http://schemas.openxmlformats.org/officeDocument/2006/relationships/hyperlink" Target="https://klima-retten.info/PDF/250728_KabV_Haushaltentwurf_2026.pdf" TargetMode="External"/><Relationship Id="rId5" Type="http://schemas.openxmlformats.org/officeDocument/2006/relationships/hyperlink" Target="https://klima-retten.info/PDF/250728_KabV_Haushaltentwurf_2026.pdf" TargetMode="External"/><Relationship Id="rId4" Type="http://schemas.openxmlformats.org/officeDocument/2006/relationships/hyperlink" Target="https://klima-retten.info/PDF/epl60_2EBH25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eu-klimadividende.klima-retten.info/" TargetMode="External"/><Relationship Id="rId2" Type="http://schemas.openxmlformats.org/officeDocument/2006/relationships/hyperlink" Target="https://doi.org/10.5281/zenodo.6614788" TargetMode="External"/><Relationship Id="rId1" Type="http://schemas.openxmlformats.org/officeDocument/2006/relationships/hyperlink" Target="https://www.destatis.de/DE/Themen/Gesellschaft-Umwelt/Bevoelkerung/Bevoelkerungsstand/_inhalt.html" TargetMode="External"/><Relationship Id="rId4" Type="http://schemas.openxmlformats.org/officeDocument/2006/relationships/hyperlink" Target="https://climate.ec.europa.eu/eu-action/carbon-markets/eu-emissions-trading-system-eu-ets/how-do-member-states-use-ets-revenues_e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statis.de/SiteGlobals/Forms/Suche/Servicesuche_Formular.html?nn=212600&amp;resourceId=2414&amp;input_=112904&amp;pageLocale=de&amp;templateQueryString=steuereinnahmen+nach+Steuerarten&amp;submit.x=0&amp;submit.y=0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mweltbundesamt.de/presse/pressemitteilungen/einnahmen-aus-dem-emissionshandel-erneut-auf" TargetMode="External"/><Relationship Id="rId2" Type="http://schemas.openxmlformats.org/officeDocument/2006/relationships/hyperlink" Target="https://www.klimareporter.de/images/dokumente/2024/08/20240816-kabinettsvorlage-hh-2025.pdf" TargetMode="External"/><Relationship Id="rId1" Type="http://schemas.openxmlformats.org/officeDocument/2006/relationships/hyperlink" Target="https://www.bundestag.de/presse/hib/kurzmeldungen-1015396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undestag.de/presse/hib/kurzmeldungen-1015396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https://foes.de/publikationen/2024/FOES_2024_KTF_Soll-Ist_Analyse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rive.google.com/file/d/1dkjtRtuSb1DnMwNorQ1Zw7bEDTyMYkHR/view?usp=sharing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https://table.media/wp-content/uploads/2024/04/04175233/240401__BMF_13._KTF-Bericht_Wasser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hyperlink" Target="https://drive.google.com/file/d/1XrmEFYi1qtCv2tywmRqBdGp7p4v1iFp5/view?usp=sharing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lima-retten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B749-3C44-458A-8FDF-884269E7CCBF}">
  <sheetPr>
    <tabColor theme="7" tint="0.79998168889431442"/>
    <outlinePr summaryBelow="0" summaryRight="0"/>
  </sheetPr>
  <dimension ref="B1:L27"/>
  <sheetViews>
    <sheetView zoomScale="140" zoomScaleNormal="140" workbookViewId="0">
      <selection activeCell="B2" sqref="B2:I2"/>
    </sheetView>
  </sheetViews>
  <sheetFormatPr baseColWidth="10" defaultColWidth="14.42578125" defaultRowHeight="15" customHeight="1" x14ac:dyDescent="0.25"/>
  <cols>
    <col min="1" max="1" width="1.140625" customWidth="1"/>
    <col min="2" max="2" width="40.85546875" bestFit="1" customWidth="1"/>
    <col min="3" max="3" width="7.7109375" customWidth="1"/>
    <col min="4" max="4" width="7.42578125" customWidth="1"/>
    <col min="5" max="5" width="7" customWidth="1"/>
    <col min="6" max="9" width="7.140625" customWidth="1"/>
    <col min="10" max="10" width="3.28515625" customWidth="1"/>
    <col min="11" max="11" width="9" customWidth="1"/>
    <col min="12" max="12" width="41.140625" bestFit="1" customWidth="1"/>
  </cols>
  <sheetData>
    <row r="1" spans="2:12" ht="9" customHeight="1" x14ac:dyDescent="0.25"/>
    <row r="2" spans="2:12" ht="15" customHeight="1" x14ac:dyDescent="0.25">
      <c r="B2" s="533" t="s">
        <v>211</v>
      </c>
      <c r="C2" s="534"/>
      <c r="D2" s="534"/>
      <c r="E2" s="534"/>
      <c r="F2" s="534"/>
      <c r="G2" s="534"/>
      <c r="H2" s="534"/>
      <c r="I2" s="535"/>
      <c r="J2" s="498"/>
      <c r="K2" s="498"/>
    </row>
    <row r="3" spans="2:12" ht="9" customHeight="1" x14ac:dyDescent="0.25">
      <c r="D3" s="10"/>
      <c r="E3" s="10"/>
      <c r="F3" s="10"/>
    </row>
    <row r="4" spans="2:12" ht="16.5" customHeight="1" x14ac:dyDescent="0.25">
      <c r="B4" s="269" t="s">
        <v>100</v>
      </c>
      <c r="C4" s="233"/>
      <c r="D4" s="539" t="s">
        <v>224</v>
      </c>
      <c r="E4" s="540"/>
      <c r="F4" s="540"/>
      <c r="G4" s="540"/>
      <c r="H4" s="541"/>
      <c r="I4" s="475"/>
    </row>
    <row r="5" spans="2:12" x14ac:dyDescent="0.25">
      <c r="B5" s="531" t="s">
        <v>4</v>
      </c>
      <c r="C5" s="251" t="s">
        <v>0</v>
      </c>
      <c r="D5" s="252" t="s">
        <v>2</v>
      </c>
      <c r="E5" s="309" t="s">
        <v>2</v>
      </c>
      <c r="F5" s="536" t="s">
        <v>3</v>
      </c>
      <c r="G5" s="537"/>
      <c r="H5" s="537"/>
      <c r="I5" s="538"/>
    </row>
    <row r="6" spans="2:12" x14ac:dyDescent="0.25">
      <c r="B6" s="532"/>
      <c r="C6" s="253">
        <v>2024</v>
      </c>
      <c r="D6" s="254">
        <f t="shared" ref="D6:E6" si="0">C6+1</f>
        <v>2025</v>
      </c>
      <c r="E6" s="468">
        <f t="shared" si="0"/>
        <v>2026</v>
      </c>
      <c r="F6" s="249">
        <f>E6+1</f>
        <v>2027</v>
      </c>
      <c r="G6" s="204">
        <f>F6+1</f>
        <v>2028</v>
      </c>
      <c r="H6" s="316">
        <f>G6+1</f>
        <v>2029</v>
      </c>
      <c r="I6" s="316">
        <v>2030</v>
      </c>
    </row>
    <row r="7" spans="2:12" x14ac:dyDescent="0.25">
      <c r="B7" s="207" t="s">
        <v>5</v>
      </c>
      <c r="C7" s="255">
        <f t="shared" ref="C7" si="1">SUM(C9:C11)</f>
        <v>18.49314</v>
      </c>
      <c r="D7" s="256">
        <f>SUM(D9:D12)</f>
        <v>30.745598999999999</v>
      </c>
      <c r="E7" s="300">
        <f>SUM(E9:E12)</f>
        <v>30.978425999999999</v>
      </c>
      <c r="F7" s="313">
        <f t="shared" ref="F7:H7" si="2">SUM(F9:F12)</f>
        <v>35.894535000000005</v>
      </c>
      <c r="G7" s="314">
        <f t="shared" si="2"/>
        <v>37.637844999999999</v>
      </c>
      <c r="H7" s="315">
        <f t="shared" si="2"/>
        <v>37.681130000000003</v>
      </c>
      <c r="I7" s="315"/>
    </row>
    <row r="8" spans="2:12" x14ac:dyDescent="0.25">
      <c r="B8" s="23" t="s">
        <v>6</v>
      </c>
      <c r="C8" s="257">
        <f t="shared" ref="C8:E8" si="3">SUM(C9:C10)</f>
        <v>18.49314</v>
      </c>
      <c r="D8" s="258">
        <f t="shared" si="3"/>
        <v>20.745598999999999</v>
      </c>
      <c r="E8" s="294">
        <f t="shared" si="3"/>
        <v>20.978425999999999</v>
      </c>
      <c r="F8" s="284">
        <f>SUM(F9:F10)</f>
        <v>25.894535000000001</v>
      </c>
      <c r="G8" s="284">
        <f>SUM(G9:G10)</f>
        <v>27.637845000000002</v>
      </c>
      <c r="H8" s="285">
        <f>SUM(H9:H10)</f>
        <v>27.681130000000003</v>
      </c>
      <c r="I8" s="285"/>
    </row>
    <row r="9" spans="2:12" x14ac:dyDescent="0.25">
      <c r="B9" s="318" t="s">
        <v>7</v>
      </c>
      <c r="C9" s="317">
        <f>5505298/1000000</f>
        <v>5.5052979999999998</v>
      </c>
      <c r="D9" s="270">
        <f>5332000/1000000</f>
        <v>5.3319999999999999</v>
      </c>
      <c r="E9" s="295">
        <f>4265000/1000000</f>
        <v>4.2649999999999997</v>
      </c>
      <c r="F9" s="286">
        <f>4640000/1000000</f>
        <v>4.6399999999999997</v>
      </c>
      <c r="G9" s="286">
        <f>7486000/1000000</f>
        <v>7.4859999999999998</v>
      </c>
      <c r="H9" s="287">
        <f>9528000/1000000</f>
        <v>9.5280000000000005</v>
      </c>
      <c r="I9" s="287"/>
    </row>
    <row r="10" spans="2:12" x14ac:dyDescent="0.25">
      <c r="B10" s="318" t="s">
        <v>8</v>
      </c>
      <c r="C10" s="317">
        <f>12987842/1000000</f>
        <v>12.987842000000001</v>
      </c>
      <c r="D10" s="270">
        <f>15413599/1000000</f>
        <v>15.413599</v>
      </c>
      <c r="E10" s="295">
        <f>16713426/1000000</f>
        <v>16.713425999999998</v>
      </c>
      <c r="F10" s="286">
        <f>21254535/1000000</f>
        <v>21.254535000000001</v>
      </c>
      <c r="G10" s="286">
        <f>20151845/1000000</f>
        <v>20.151845000000002</v>
      </c>
      <c r="H10" s="287">
        <f>18153130/1000000</f>
        <v>18.153130000000001</v>
      </c>
      <c r="I10" s="287"/>
    </row>
    <row r="11" spans="2:12" x14ac:dyDescent="0.25">
      <c r="B11" s="23" t="s">
        <v>9</v>
      </c>
      <c r="C11" s="236">
        <v>0</v>
      </c>
      <c r="D11" s="259">
        <v>0</v>
      </c>
      <c r="E11" s="296">
        <v>0</v>
      </c>
      <c r="F11" s="288">
        <v>0</v>
      </c>
      <c r="G11" s="288">
        <v>0</v>
      </c>
      <c r="H11" s="289">
        <v>0</v>
      </c>
      <c r="I11" s="289"/>
    </row>
    <row r="12" spans="2:12" x14ac:dyDescent="0.25">
      <c r="B12" s="23" t="s">
        <v>182</v>
      </c>
      <c r="C12" s="138"/>
      <c r="D12" s="259">
        <v>10</v>
      </c>
      <c r="E12" s="297">
        <f>D12</f>
        <v>10</v>
      </c>
      <c r="F12" s="301">
        <f t="shared" ref="F12:H12" si="4">E12</f>
        <v>10</v>
      </c>
      <c r="G12" s="290">
        <f t="shared" si="4"/>
        <v>10</v>
      </c>
      <c r="H12" s="291">
        <f t="shared" si="4"/>
        <v>10</v>
      </c>
      <c r="I12" s="291"/>
    </row>
    <row r="13" spans="2:12" x14ac:dyDescent="0.25">
      <c r="B13" s="248" t="s">
        <v>213</v>
      </c>
      <c r="C13" s="260">
        <f>'KTF Ausgaben Stand 8-25'!F156</f>
        <v>47.505700000000004</v>
      </c>
      <c r="D13" s="261">
        <f>36703305/1000000</f>
        <v>36.703305</v>
      </c>
      <c r="E13" s="298">
        <f>35660806/1000000</f>
        <v>35.660806000000001</v>
      </c>
      <c r="F13" s="330">
        <f>36670268/1000000</f>
        <v>36.670268</v>
      </c>
      <c r="G13" s="331">
        <f>39018306/1000000</f>
        <v>39.018306000000003</v>
      </c>
      <c r="H13" s="332">
        <f>39506826/1000000</f>
        <v>39.506825999999997</v>
      </c>
      <c r="I13" s="332"/>
    </row>
    <row r="14" spans="2:12" x14ac:dyDescent="0.25">
      <c r="B14" s="249" t="s">
        <v>13</v>
      </c>
      <c r="C14" s="262">
        <f t="shared" ref="C14:G14" si="5">C7-C13</f>
        <v>-29.012560000000004</v>
      </c>
      <c r="D14" s="250">
        <f t="shared" si="5"/>
        <v>-5.9577060000000017</v>
      </c>
      <c r="E14" s="299">
        <f t="shared" si="5"/>
        <v>-4.682380000000002</v>
      </c>
      <c r="F14" s="292">
        <f t="shared" si="5"/>
        <v>-0.77573299999999534</v>
      </c>
      <c r="G14" s="292">
        <f t="shared" si="5"/>
        <v>-1.3804610000000039</v>
      </c>
      <c r="H14" s="293">
        <f t="shared" ref="H14" si="6">H7-H13</f>
        <v>-1.8256959999999935</v>
      </c>
      <c r="I14" s="293"/>
    </row>
    <row r="15" spans="2:12" x14ac:dyDescent="0.25">
      <c r="B15" s="49" t="s">
        <v>115</v>
      </c>
      <c r="C15" s="128">
        <f>29012560/1000000</f>
        <v>29.012560000000001</v>
      </c>
      <c r="D15" s="128">
        <f>5957706/1000000</f>
        <v>5.9577059999999999</v>
      </c>
      <c r="E15" s="128">
        <f>2100000/1000000</f>
        <v>2.1</v>
      </c>
      <c r="F15" s="218">
        <v>0</v>
      </c>
      <c r="G15" s="302">
        <v>0</v>
      </c>
      <c r="H15" s="303">
        <v>0</v>
      </c>
      <c r="I15" s="303"/>
    </row>
    <row r="16" spans="2:12" x14ac:dyDescent="0.25">
      <c r="B16" s="49" t="s">
        <v>212</v>
      </c>
      <c r="C16" s="140">
        <f>D15*-1</f>
        <v>-5.9577059999999999</v>
      </c>
      <c r="D16" s="128">
        <f>-2100000/1000000</f>
        <v>-2.1</v>
      </c>
      <c r="E16" s="128">
        <v>0</v>
      </c>
      <c r="F16" s="133">
        <v>0</v>
      </c>
      <c r="G16" s="133">
        <v>0</v>
      </c>
      <c r="H16" s="141">
        <v>0</v>
      </c>
      <c r="I16" s="141"/>
      <c r="K16" s="307"/>
      <c r="L16" s="273"/>
    </row>
    <row r="17" spans="2:9" x14ac:dyDescent="0.25">
      <c r="B17" s="114" t="s">
        <v>63</v>
      </c>
      <c r="C17" s="140">
        <f>D15</f>
        <v>5.9577059999999999</v>
      </c>
      <c r="D17" s="128">
        <f>2031759/1000000</f>
        <v>2.0317590000000001</v>
      </c>
      <c r="E17" s="296">
        <f>2582380/1000000</f>
        <v>2.5823800000000001</v>
      </c>
      <c r="F17" s="288">
        <f>775733/1000000</f>
        <v>0.77573300000000001</v>
      </c>
      <c r="G17" s="288">
        <f>1380461/1000000</f>
        <v>1.3804609999999999</v>
      </c>
      <c r="H17" s="289">
        <f>1825696/1000000</f>
        <v>1.825696</v>
      </c>
      <c r="I17" s="289"/>
    </row>
    <row r="18" spans="2:9" x14ac:dyDescent="0.25">
      <c r="B18" s="334" t="s">
        <v>266</v>
      </c>
      <c r="C18" s="178">
        <f t="shared" ref="C18:H18" si="7">SUM(C14:C17)</f>
        <v>0</v>
      </c>
      <c r="D18" s="181">
        <f t="shared" si="7"/>
        <v>-6.8241000000001772E-2</v>
      </c>
      <c r="E18" s="304">
        <f t="shared" si="7"/>
        <v>0</v>
      </c>
      <c r="F18" s="305">
        <f t="shared" si="7"/>
        <v>4.6629367034256575E-15</v>
      </c>
      <c r="G18" s="305">
        <f t="shared" si="7"/>
        <v>-3.9968028886505635E-15</v>
      </c>
      <c r="H18" s="306">
        <f t="shared" si="7"/>
        <v>6.4392935428259079E-15</v>
      </c>
      <c r="I18" s="306"/>
    </row>
    <row r="19" spans="2:9" x14ac:dyDescent="0.25">
      <c r="B19" s="220"/>
      <c r="C19" s="221"/>
      <c r="D19" s="221"/>
      <c r="E19" s="221"/>
      <c r="F19" s="221"/>
      <c r="G19" s="221"/>
      <c r="H19" s="221"/>
      <c r="I19" s="221"/>
    </row>
    <row r="20" spans="2:9" hidden="1" x14ac:dyDescent="0.25">
      <c r="B20" s="11" t="s">
        <v>15</v>
      </c>
      <c r="C20" s="237">
        <f>C8/Klimageld!$C$12*1000</f>
        <v>221.47473053892216</v>
      </c>
      <c r="D20" s="237">
        <f>D8/Klimageld!$C$12*1000</f>
        <v>248.4502874251497</v>
      </c>
      <c r="E20" s="237">
        <f>E8/Klimageld!$C$12*1000</f>
        <v>251.23863473053893</v>
      </c>
      <c r="F20" s="62">
        <f>F8/Klimageld!$C$12*1000</f>
        <v>310.11419161676645</v>
      </c>
      <c r="G20" s="62">
        <f>G8/Klimageld!$C$12*1000</f>
        <v>330.9921556886228</v>
      </c>
      <c r="H20" s="14">
        <f>H8/Klimageld!$C$12*1000</f>
        <v>331.51053892215572</v>
      </c>
      <c r="I20" s="14"/>
    </row>
    <row r="21" spans="2:9" hidden="1" x14ac:dyDescent="0.25">
      <c r="B21" s="15" t="s">
        <v>16</v>
      </c>
      <c r="C21" s="238">
        <f>C10/Klimageld!$C$12*1000</f>
        <v>155.54301796407185</v>
      </c>
      <c r="D21" s="238">
        <f>D10/Klimageld!$C$12*1000</f>
        <v>184.59399999999999</v>
      </c>
      <c r="E21" s="238">
        <f>E10/Klimageld!$C$12*1000</f>
        <v>200.16079041916166</v>
      </c>
      <c r="F21" s="63">
        <f>F10/Klimageld!$C$12*1000</f>
        <v>254.54532934131734</v>
      </c>
      <c r="G21" s="63">
        <f>G10/Klimageld!$C$12*1000</f>
        <v>241.33946107784431</v>
      </c>
      <c r="H21" s="18">
        <f>H10/Klimageld!$C$12*1000</f>
        <v>217.40275449101799</v>
      </c>
      <c r="I21" s="18"/>
    </row>
    <row r="22" spans="2:9" hidden="1" x14ac:dyDescent="0.25">
      <c r="C22" s="10"/>
    </row>
    <row r="23" spans="2:9" x14ac:dyDescent="0.25">
      <c r="B23" s="239" t="s">
        <v>118</v>
      </c>
      <c r="C23" s="530" t="s">
        <v>117</v>
      </c>
      <c r="D23" s="530"/>
      <c r="E23" s="530"/>
      <c r="F23" s="530"/>
      <c r="G23" s="530"/>
      <c r="H23" s="530"/>
      <c r="I23" s="472"/>
    </row>
    <row r="24" spans="2:9" ht="8.25" customHeight="1" x14ac:dyDescent="0.25">
      <c r="C24" s="184"/>
    </row>
    <row r="25" spans="2:9" ht="15" customHeight="1" x14ac:dyDescent="0.25">
      <c r="B25" s="471" t="s">
        <v>271</v>
      </c>
      <c r="D25" s="184">
        <v>21.4</v>
      </c>
      <c r="E25" s="60" t="s">
        <v>272</v>
      </c>
    </row>
    <row r="27" spans="2:9" ht="15" customHeight="1" x14ac:dyDescent="0.25">
      <c r="B27" s="479" t="s">
        <v>274</v>
      </c>
      <c r="C27" s="476"/>
      <c r="D27" s="476"/>
      <c r="E27" s="476"/>
      <c r="F27" s="477">
        <v>40.9</v>
      </c>
      <c r="G27" s="473">
        <v>44.3</v>
      </c>
      <c r="H27" s="473">
        <v>45.05</v>
      </c>
      <c r="I27" s="478" t="s">
        <v>273</v>
      </c>
    </row>
  </sheetData>
  <mergeCells count="5">
    <mergeCell ref="C23:H23"/>
    <mergeCell ref="B5:B6"/>
    <mergeCell ref="B2:I2"/>
    <mergeCell ref="F5:I5"/>
    <mergeCell ref="D4:H4"/>
  </mergeCells>
  <hyperlinks>
    <hyperlink ref="C23" r:id="rId1" xr:uid="{52263759-0DCC-486A-B66E-FDE6683D9A81}"/>
    <hyperlink ref="C23:H23" r:id="rId2" display="https://klima-retten.info/PDF/epl60_2EBH25.pdf" xr:uid="{31C576B8-78DE-45CF-866C-BE506490AACC}"/>
    <hyperlink ref="E25" r:id="rId3" xr:uid="{41A06160-2D83-4BC0-934C-88EF848FD84F}"/>
    <hyperlink ref="B27" r:id="rId4" tooltip="Tagesspielgel Background" display="Pogrammausgaben Eckwerte 4/26" xr:uid="{87E4E853-FCFE-474F-8F0F-C98A24793D23}"/>
  </hyperlinks>
  <pageMargins left="0.7" right="0.7" top="0.78740157499999996" bottom="0.78740157499999996" header="0.3" footer="0.3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EA6E-21B4-4D6D-AD6E-6E12E9C9103E}">
  <sheetPr>
    <tabColor theme="7" tint="0.79998168889431442"/>
  </sheetPr>
  <dimension ref="B1:S306"/>
  <sheetViews>
    <sheetView zoomScale="145" zoomScaleNormal="145" workbookViewId="0">
      <selection activeCell="B2" sqref="B2:D2"/>
    </sheetView>
  </sheetViews>
  <sheetFormatPr baseColWidth="10" defaultRowHeight="15" x14ac:dyDescent="0.25"/>
  <cols>
    <col min="1" max="1" width="2.42578125" customWidth="1"/>
    <col min="2" max="2" width="6.85546875" customWidth="1"/>
    <col min="3" max="3" width="8.140625" style="380" customWidth="1"/>
    <col min="4" max="4" width="60.5703125" style="342" customWidth="1"/>
    <col min="5" max="5" width="8.42578125" style="380" bestFit="1" customWidth="1"/>
    <col min="6" max="6" width="6" style="380" customWidth="1"/>
    <col min="7" max="7" width="8" style="380" bestFit="1" customWidth="1"/>
    <col min="8" max="8" width="8.28515625" style="380" customWidth="1"/>
    <col min="9" max="9" width="11" style="380" bestFit="1" customWidth="1"/>
    <col min="10" max="10" width="11.42578125" style="380"/>
    <col min="11" max="11" width="10.85546875" bestFit="1" customWidth="1"/>
    <col min="12" max="12" width="35.28515625" style="267" bestFit="1" customWidth="1"/>
    <col min="13" max="13" width="3.42578125" customWidth="1"/>
  </cols>
  <sheetData>
    <row r="1" spans="2:4" ht="11.25" customHeight="1" x14ac:dyDescent="0.25"/>
    <row r="2" spans="2:4" ht="18.75" x14ac:dyDescent="0.3">
      <c r="B2" s="549" t="s">
        <v>260</v>
      </c>
      <c r="C2" s="549"/>
      <c r="D2" s="549"/>
    </row>
    <row r="3" spans="2:4" ht="18.75" x14ac:dyDescent="0.3">
      <c r="B3" s="340"/>
      <c r="C3" s="381"/>
      <c r="D3" s="343"/>
    </row>
    <row r="19" spans="2:14" x14ac:dyDescent="0.25">
      <c r="E19" s="396" t="s">
        <v>1</v>
      </c>
      <c r="F19" s="397" t="s">
        <v>0</v>
      </c>
      <c r="G19" s="398" t="s">
        <v>2</v>
      </c>
      <c r="H19" s="397" t="s">
        <v>2</v>
      </c>
      <c r="L19" s="266" t="s">
        <v>185</v>
      </c>
    </row>
    <row r="20" spans="2:14" ht="24" x14ac:dyDescent="0.25">
      <c r="B20" s="244" t="s">
        <v>4</v>
      </c>
      <c r="C20" s="245" t="s">
        <v>170</v>
      </c>
      <c r="D20" s="341"/>
      <c r="E20" s="310">
        <v>2024</v>
      </c>
      <c r="F20" s="246">
        <v>2024</v>
      </c>
      <c r="G20" s="246">
        <v>2025</v>
      </c>
      <c r="H20" s="310">
        <v>2026</v>
      </c>
      <c r="I20" s="243" t="s">
        <v>256</v>
      </c>
      <c r="J20" s="247" t="s">
        <v>169</v>
      </c>
      <c r="K20" s="264"/>
      <c r="L20" s="266"/>
    </row>
    <row r="21" spans="2:14" x14ac:dyDescent="0.25">
      <c r="B21" s="546" t="s">
        <v>166</v>
      </c>
      <c r="C21" s="382" t="s">
        <v>119</v>
      </c>
      <c r="D21" s="345" t="s">
        <v>120</v>
      </c>
      <c r="E21" s="400">
        <v>0</v>
      </c>
      <c r="F21" s="401">
        <v>0</v>
      </c>
      <c r="G21" s="401">
        <v>3.4</v>
      </c>
      <c r="H21" s="400">
        <v>0</v>
      </c>
      <c r="I21" s="402" t="s">
        <v>195</v>
      </c>
      <c r="J21" s="403">
        <f>G21/$G$62</f>
        <v>9.2634709599040188E-2</v>
      </c>
      <c r="K21" s="265"/>
      <c r="L21" s="268" t="s">
        <v>178</v>
      </c>
    </row>
    <row r="22" spans="2:14" x14ac:dyDescent="0.25">
      <c r="B22" s="547"/>
      <c r="C22" s="380" t="s">
        <v>225</v>
      </c>
      <c r="D22" s="342" t="s">
        <v>226</v>
      </c>
      <c r="E22" s="404"/>
      <c r="F22" s="405"/>
      <c r="G22" s="405"/>
      <c r="H22" s="404">
        <f>543112/1000000</f>
        <v>0.54311200000000004</v>
      </c>
      <c r="I22" s="406"/>
      <c r="J22" s="407">
        <f t="shared" ref="J22:J60" si="0">G22/$G$62</f>
        <v>0</v>
      </c>
      <c r="K22" s="265"/>
      <c r="L22" s="268" t="s">
        <v>37</v>
      </c>
    </row>
    <row r="23" spans="2:14" ht="30" x14ac:dyDescent="0.25">
      <c r="B23" s="547"/>
      <c r="C23" s="380" t="s">
        <v>121</v>
      </c>
      <c r="D23" s="465" t="s">
        <v>44</v>
      </c>
      <c r="E23" s="404">
        <v>3.8963830000000002</v>
      </c>
      <c r="F23" s="405">
        <v>2.4</v>
      </c>
      <c r="G23" s="405">
        <v>2.85</v>
      </c>
      <c r="H23" s="404">
        <v>3</v>
      </c>
      <c r="I23" s="408">
        <f>(G23-E23)/E23</f>
        <v>-0.2685523984680151</v>
      </c>
      <c r="J23" s="407">
        <f t="shared" si="0"/>
        <v>7.7649683046254289E-2</v>
      </c>
      <c r="K23" s="265"/>
      <c r="L23" s="268" t="s">
        <v>257</v>
      </c>
      <c r="N23" s="464"/>
    </row>
    <row r="24" spans="2:14" x14ac:dyDescent="0.25">
      <c r="B24" s="547"/>
      <c r="C24" s="383" t="s">
        <v>227</v>
      </c>
      <c r="D24" s="347" t="s">
        <v>228</v>
      </c>
      <c r="E24" s="404"/>
      <c r="F24" s="405">
        <v>0.3</v>
      </c>
      <c r="G24" s="405">
        <v>0.3</v>
      </c>
      <c r="H24" s="404">
        <f>88313/1000000</f>
        <v>8.8313000000000003E-2</v>
      </c>
      <c r="I24" s="408"/>
      <c r="J24" s="407">
        <f t="shared" si="0"/>
        <v>8.1736508469741342E-3</v>
      </c>
      <c r="K24" s="265"/>
      <c r="L24" s="268" t="s">
        <v>181</v>
      </c>
      <c r="N24" s="263"/>
    </row>
    <row r="25" spans="2:14" x14ac:dyDescent="0.25">
      <c r="B25" s="547"/>
      <c r="C25" s="383" t="s">
        <v>229</v>
      </c>
      <c r="D25" s="347" t="s">
        <v>230</v>
      </c>
      <c r="E25" s="404"/>
      <c r="F25" s="405">
        <f>63259/1000000</f>
        <v>6.3258999999999996E-2</v>
      </c>
      <c r="G25" s="405">
        <f>105721/1000000</f>
        <v>0.105721</v>
      </c>
      <c r="H25" s="404">
        <f>115981/1000000</f>
        <v>0.115981</v>
      </c>
      <c r="I25" s="408"/>
      <c r="J25" s="407">
        <f t="shared" si="0"/>
        <v>2.8804218039765084E-3</v>
      </c>
      <c r="K25" s="265"/>
      <c r="L25" s="268" t="s">
        <v>181</v>
      </c>
      <c r="N25" s="263"/>
    </row>
    <row r="26" spans="2:14" ht="30" x14ac:dyDescent="0.25">
      <c r="B26" s="547"/>
      <c r="C26" s="383" t="s">
        <v>231</v>
      </c>
      <c r="D26" s="347" t="s">
        <v>232</v>
      </c>
      <c r="E26" s="404"/>
      <c r="F26" s="405"/>
      <c r="G26" s="405"/>
      <c r="H26" s="404"/>
      <c r="I26" s="408"/>
      <c r="J26" s="407">
        <f t="shared" si="0"/>
        <v>0</v>
      </c>
      <c r="K26" s="265"/>
      <c r="L26" s="268" t="s">
        <v>257</v>
      </c>
      <c r="N26" s="263"/>
    </row>
    <row r="27" spans="2:14" x14ac:dyDescent="0.25">
      <c r="B27" s="547"/>
      <c r="C27" s="384" t="s">
        <v>162</v>
      </c>
      <c r="D27" s="346" t="str">
        <f>D147</f>
        <v>Zuschüsse zur Entlastung beim Strompreis (EEG-Differenzkosten)</v>
      </c>
      <c r="E27" s="404">
        <v>10.6</v>
      </c>
      <c r="F27" s="405"/>
      <c r="G27" s="405"/>
      <c r="H27" s="404"/>
      <c r="I27" s="408">
        <f>(G27-E27)/E27</f>
        <v>-1</v>
      </c>
      <c r="J27" s="407">
        <f t="shared" si="0"/>
        <v>0</v>
      </c>
      <c r="K27" s="265"/>
      <c r="L27" s="268" t="s">
        <v>28</v>
      </c>
      <c r="N27" s="263"/>
    </row>
    <row r="28" spans="2:14" x14ac:dyDescent="0.25">
      <c r="B28" s="547"/>
      <c r="C28" s="383" t="s">
        <v>233</v>
      </c>
      <c r="D28" s="347" t="s">
        <v>234</v>
      </c>
      <c r="E28" s="404"/>
      <c r="F28" s="405"/>
      <c r="G28" s="405"/>
      <c r="H28" s="404">
        <v>6.5</v>
      </c>
      <c r="I28" s="408"/>
      <c r="J28" s="407">
        <f t="shared" si="0"/>
        <v>0</v>
      </c>
      <c r="K28" s="265"/>
      <c r="L28" s="268" t="s">
        <v>257</v>
      </c>
      <c r="N28" s="263"/>
    </row>
    <row r="29" spans="2:14" x14ac:dyDescent="0.25">
      <c r="B29" s="547"/>
      <c r="C29" s="383" t="s">
        <v>235</v>
      </c>
      <c r="D29" s="347" t="s">
        <v>236</v>
      </c>
      <c r="E29" s="404"/>
      <c r="F29" s="405"/>
      <c r="G29" s="405"/>
      <c r="H29" s="404">
        <v>0.2</v>
      </c>
      <c r="I29" s="408"/>
      <c r="J29" s="407">
        <f t="shared" si="0"/>
        <v>0</v>
      </c>
      <c r="K29" s="265"/>
      <c r="L29" s="268" t="s">
        <v>37</v>
      </c>
      <c r="N29" s="263"/>
    </row>
    <row r="30" spans="2:14" x14ac:dyDescent="0.25">
      <c r="B30" s="547"/>
      <c r="C30" s="383" t="s">
        <v>237</v>
      </c>
      <c r="D30" s="347" t="s">
        <v>238</v>
      </c>
      <c r="E30" s="404"/>
      <c r="F30" s="405">
        <f>52178/1000000</f>
        <v>5.2178000000000002E-2</v>
      </c>
      <c r="G30" s="405">
        <v>0.248</v>
      </c>
      <c r="H30" s="404">
        <v>0.125</v>
      </c>
      <c r="I30" s="408"/>
      <c r="J30" s="407">
        <f t="shared" si="0"/>
        <v>6.7568847001652846E-3</v>
      </c>
      <c r="K30" s="265"/>
      <c r="L30" s="268" t="s">
        <v>37</v>
      </c>
      <c r="N30" s="263"/>
    </row>
    <row r="31" spans="2:14" x14ac:dyDescent="0.25">
      <c r="B31" s="547"/>
      <c r="C31" s="383" t="s">
        <v>239</v>
      </c>
      <c r="D31" s="347" t="s">
        <v>240</v>
      </c>
      <c r="E31" s="404"/>
      <c r="F31" s="405"/>
      <c r="G31" s="405"/>
      <c r="H31" s="404">
        <v>0.49199999999999999</v>
      </c>
      <c r="I31" s="408"/>
      <c r="J31" s="407">
        <f t="shared" si="0"/>
        <v>0</v>
      </c>
      <c r="K31" s="265"/>
      <c r="L31" s="268" t="s">
        <v>37</v>
      </c>
      <c r="N31" s="263"/>
    </row>
    <row r="32" spans="2:14" x14ac:dyDescent="0.25">
      <c r="B32" s="547"/>
      <c r="C32" s="383" t="s">
        <v>241</v>
      </c>
      <c r="D32" s="347" t="s">
        <v>242</v>
      </c>
      <c r="E32" s="404"/>
      <c r="F32" s="405">
        <v>0.27100000000000002</v>
      </c>
      <c r="G32" s="405">
        <v>0.37</v>
      </c>
      <c r="H32" s="404">
        <v>0.40200000000000002</v>
      </c>
      <c r="I32" s="408"/>
      <c r="J32" s="407">
        <f t="shared" si="0"/>
        <v>1.0080836044601433E-2</v>
      </c>
      <c r="K32" s="265"/>
      <c r="L32" s="268" t="s">
        <v>37</v>
      </c>
      <c r="N32" s="263"/>
    </row>
    <row r="33" spans="2:12" x14ac:dyDescent="0.25">
      <c r="B33" s="547"/>
      <c r="C33" s="380" t="s">
        <v>122</v>
      </c>
      <c r="D33" s="346" t="s">
        <v>46</v>
      </c>
      <c r="E33" s="404">
        <v>0.85399999999999998</v>
      </c>
      <c r="F33" s="405">
        <v>0.55500000000000005</v>
      </c>
      <c r="G33" s="405">
        <v>0.91831700000000005</v>
      </c>
      <c r="H33" s="404"/>
      <c r="I33" s="408">
        <f>(G33-E33)/E33</f>
        <v>7.5312646370023495E-2</v>
      </c>
      <c r="J33" s="407">
        <f t="shared" si="0"/>
        <v>2.5020008416135824E-2</v>
      </c>
      <c r="K33" s="265"/>
      <c r="L33" s="268" t="s">
        <v>258</v>
      </c>
    </row>
    <row r="34" spans="2:12" x14ac:dyDescent="0.25">
      <c r="B34" s="547"/>
      <c r="C34" s="380" t="s">
        <v>243</v>
      </c>
      <c r="D34" s="347" t="s">
        <v>244</v>
      </c>
      <c r="E34" s="404"/>
      <c r="F34" s="405">
        <f>84824/1000000</f>
        <v>8.4823999999999997E-2</v>
      </c>
      <c r="G34" s="405">
        <v>0.122</v>
      </c>
      <c r="H34" s="404">
        <v>0.13900000000000001</v>
      </c>
      <c r="I34" s="408"/>
      <c r="J34" s="407">
        <f t="shared" si="0"/>
        <v>3.3239513444361479E-3</v>
      </c>
      <c r="K34" s="265"/>
      <c r="L34" s="268" t="s">
        <v>37</v>
      </c>
    </row>
    <row r="35" spans="2:12" x14ac:dyDescent="0.25">
      <c r="B35" s="547"/>
      <c r="C35" s="380" t="s">
        <v>245</v>
      </c>
      <c r="D35" s="347" t="s">
        <v>246</v>
      </c>
      <c r="E35" s="404"/>
      <c r="F35" s="405">
        <v>0.23699999999999999</v>
      </c>
      <c r="G35" s="405">
        <f>0.306</f>
        <v>0.30599999999999999</v>
      </c>
      <c r="H35" s="404">
        <v>0.19600000000000001</v>
      </c>
      <c r="I35" s="408"/>
      <c r="J35" s="407">
        <f t="shared" si="0"/>
        <v>8.3371238639136178E-3</v>
      </c>
      <c r="K35" s="265"/>
      <c r="L35" s="268" t="s">
        <v>37</v>
      </c>
    </row>
    <row r="36" spans="2:12" x14ac:dyDescent="0.25">
      <c r="B36" s="547"/>
      <c r="C36" s="380" t="s">
        <v>247</v>
      </c>
      <c r="D36" s="347" t="s">
        <v>248</v>
      </c>
      <c r="E36" s="404"/>
      <c r="F36" s="405">
        <f>6821/1000000</f>
        <v>6.8209999999999998E-3</v>
      </c>
      <c r="G36" s="405">
        <f>25000/1000000</f>
        <v>2.5000000000000001E-2</v>
      </c>
      <c r="H36" s="404">
        <v>0.15</v>
      </c>
      <c r="I36" s="408"/>
      <c r="J36" s="407">
        <f t="shared" si="0"/>
        <v>6.8113757058117796E-4</v>
      </c>
      <c r="K36" s="265"/>
      <c r="L36" s="268" t="s">
        <v>37</v>
      </c>
    </row>
    <row r="37" spans="2:12" x14ac:dyDescent="0.25">
      <c r="B37" s="547"/>
      <c r="C37" s="380" t="s">
        <v>123</v>
      </c>
      <c r="D37" s="342" t="s">
        <v>124</v>
      </c>
      <c r="E37" s="404">
        <v>0.74239299999999997</v>
      </c>
      <c r="F37" s="405">
        <v>0.23</v>
      </c>
      <c r="G37" s="405">
        <v>0.57902399999999998</v>
      </c>
      <c r="H37" s="404">
        <v>0.82199999999999995</v>
      </c>
      <c r="I37" s="408">
        <f>(G37-E37)/E37</f>
        <v>-0.22005730118683769</v>
      </c>
      <c r="J37" s="407">
        <f t="shared" si="0"/>
        <v>1.5775800026727838E-2</v>
      </c>
      <c r="K37" s="265"/>
      <c r="L37" s="268" t="s">
        <v>37</v>
      </c>
    </row>
    <row r="38" spans="2:12" x14ac:dyDescent="0.25">
      <c r="B38" s="547"/>
      <c r="C38" s="380" t="s">
        <v>125</v>
      </c>
      <c r="D38" s="342" t="s">
        <v>126</v>
      </c>
      <c r="E38" s="404">
        <v>0.45773000000000003</v>
      </c>
      <c r="F38" s="405">
        <v>0.36399999999999999</v>
      </c>
      <c r="G38" s="405">
        <v>0.83308300000000002</v>
      </c>
      <c r="H38" s="404">
        <v>0.435</v>
      </c>
      <c r="I38" s="408">
        <f>(G38-E38)/E38</f>
        <v>0.82003145959408374</v>
      </c>
      <c r="J38" s="407">
        <f t="shared" si="0"/>
        <v>2.2697765228499176E-2</v>
      </c>
      <c r="K38" s="265"/>
      <c r="L38" s="268" t="s">
        <v>37</v>
      </c>
    </row>
    <row r="39" spans="2:12" x14ac:dyDescent="0.25">
      <c r="B39" s="548"/>
      <c r="C39" s="385" t="s">
        <v>127</v>
      </c>
      <c r="D39" s="348" t="s">
        <v>128</v>
      </c>
      <c r="E39" s="409">
        <v>0.4914</v>
      </c>
      <c r="F39" s="410">
        <v>0.107</v>
      </c>
      <c r="G39" s="410">
        <v>0.31535000000000002</v>
      </c>
      <c r="H39" s="409">
        <v>0.29399999999999998</v>
      </c>
      <c r="I39" s="411">
        <f>(G39-E39)/E39</f>
        <v>-0.35826210826210825</v>
      </c>
      <c r="J39" s="407">
        <f t="shared" si="0"/>
        <v>8.591869315310979E-3</v>
      </c>
      <c r="K39" s="265"/>
      <c r="L39" s="268" t="s">
        <v>257</v>
      </c>
    </row>
    <row r="40" spans="2:12" ht="30" x14ac:dyDescent="0.25">
      <c r="B40" s="308"/>
      <c r="C40" s="380" t="s">
        <v>249</v>
      </c>
      <c r="D40" s="342" t="s">
        <v>250</v>
      </c>
      <c r="E40" s="404"/>
      <c r="F40" s="405"/>
      <c r="G40" s="405"/>
      <c r="H40" s="404">
        <v>0.28100000000000003</v>
      </c>
      <c r="I40" s="408"/>
      <c r="J40" s="407">
        <f t="shared" si="0"/>
        <v>0</v>
      </c>
      <c r="K40" s="265"/>
      <c r="L40" s="268" t="s">
        <v>181</v>
      </c>
    </row>
    <row r="41" spans="2:12" ht="15" customHeight="1" x14ac:dyDescent="0.25">
      <c r="B41" s="547" t="s">
        <v>167</v>
      </c>
      <c r="C41" s="380" t="s">
        <v>129</v>
      </c>
      <c r="D41" s="346" t="s">
        <v>130</v>
      </c>
      <c r="E41" s="404">
        <v>0.12460499999999999</v>
      </c>
      <c r="F41" s="405">
        <v>2.5000000000000001E-2</v>
      </c>
      <c r="G41" s="405">
        <v>0.22941300000000001</v>
      </c>
      <c r="H41" s="404">
        <v>0.21299999999999999</v>
      </c>
      <c r="I41" s="408">
        <f>(G41-E41)/E41</f>
        <v>0.84112194534729756</v>
      </c>
      <c r="J41" s="407">
        <f t="shared" si="0"/>
        <v>6.2504725391895905E-3</v>
      </c>
      <c r="K41" s="265"/>
      <c r="L41" s="268" t="s">
        <v>40</v>
      </c>
    </row>
    <row r="42" spans="2:12" x14ac:dyDescent="0.25">
      <c r="B42" s="547"/>
      <c r="C42" s="380" t="s">
        <v>131</v>
      </c>
      <c r="D42" s="342" t="s">
        <v>48</v>
      </c>
      <c r="E42" s="404">
        <v>0.65900000000000003</v>
      </c>
      <c r="F42" s="405">
        <v>4.1000000000000002E-2</v>
      </c>
      <c r="G42" s="405">
        <v>0.55300000000000005</v>
      </c>
      <c r="H42" s="404">
        <v>0.70099999999999996</v>
      </c>
      <c r="I42" s="408">
        <f>(G42-E42)/E42</f>
        <v>-0.16084977238239753</v>
      </c>
      <c r="J42" s="407">
        <f t="shared" si="0"/>
        <v>1.5066763061255657E-2</v>
      </c>
      <c r="K42" s="265"/>
      <c r="L42" s="268" t="s">
        <v>258</v>
      </c>
    </row>
    <row r="43" spans="2:12" x14ac:dyDescent="0.25">
      <c r="B43" s="547"/>
      <c r="C43" s="380" t="s">
        <v>132</v>
      </c>
      <c r="D43" s="342" t="s">
        <v>50</v>
      </c>
      <c r="E43" s="404">
        <v>1.270575</v>
      </c>
      <c r="F43" s="405">
        <v>0.92100000000000004</v>
      </c>
      <c r="G43" s="405">
        <v>0.71794999999999998</v>
      </c>
      <c r="H43" s="404">
        <v>1.2589999999999999</v>
      </c>
      <c r="I43" s="408">
        <f>(G43-E43)/E43</f>
        <v>-0.43494087322668873</v>
      </c>
      <c r="J43" s="407">
        <f t="shared" si="0"/>
        <v>1.9560908751950268E-2</v>
      </c>
      <c r="K43" s="265"/>
      <c r="L43" s="268" t="s">
        <v>179</v>
      </c>
    </row>
    <row r="44" spans="2:12" x14ac:dyDescent="0.25">
      <c r="B44" s="547"/>
      <c r="C44" s="380" t="s">
        <v>133</v>
      </c>
      <c r="D44" s="342" t="s">
        <v>52</v>
      </c>
      <c r="E44" s="404">
        <v>0.64449800000000002</v>
      </c>
      <c r="F44" s="405">
        <v>0.115</v>
      </c>
      <c r="G44" s="405">
        <v>0.49061500000000002</v>
      </c>
      <c r="H44" s="404">
        <v>0.90100000000000002</v>
      </c>
      <c r="I44" s="408">
        <f>(G44-E44)/E44</f>
        <v>-0.23876412339526265</v>
      </c>
      <c r="J44" s="407">
        <f t="shared" si="0"/>
        <v>1.3367052367627384E-2</v>
      </c>
      <c r="K44" s="265"/>
      <c r="L44" s="268" t="s">
        <v>179</v>
      </c>
    </row>
    <row r="45" spans="2:12" ht="30" x14ac:dyDescent="0.25">
      <c r="B45" s="547"/>
      <c r="C45" s="380" t="s">
        <v>251</v>
      </c>
      <c r="D45" s="342" t="s">
        <v>252</v>
      </c>
      <c r="E45" s="404"/>
      <c r="F45" s="405">
        <v>2.5000000000000001E-2</v>
      </c>
      <c r="G45" s="405">
        <v>3.7999999999999999E-2</v>
      </c>
      <c r="H45" s="404">
        <v>0.15</v>
      </c>
      <c r="I45" s="408"/>
      <c r="J45" s="407">
        <f t="shared" si="0"/>
        <v>1.0353291072833905E-3</v>
      </c>
      <c r="K45" s="265"/>
      <c r="L45" s="268" t="s">
        <v>181</v>
      </c>
    </row>
    <row r="46" spans="2:12" x14ac:dyDescent="0.25">
      <c r="B46" s="547"/>
      <c r="C46" s="380" t="s">
        <v>134</v>
      </c>
      <c r="D46" s="342" t="s">
        <v>135</v>
      </c>
      <c r="E46" s="404">
        <v>0.102007</v>
      </c>
      <c r="F46" s="405">
        <v>8.5999999999999993E-2</v>
      </c>
      <c r="G46" s="405">
        <v>0.128638</v>
      </c>
      <c r="H46" s="404">
        <v>0.108</v>
      </c>
      <c r="I46" s="408">
        <f>(G46-E46)/E46</f>
        <v>0.26107031870361841</v>
      </c>
      <c r="J46" s="407">
        <f t="shared" si="0"/>
        <v>3.5048069921768624E-3</v>
      </c>
      <c r="K46" s="265"/>
      <c r="L46" s="268" t="s">
        <v>179</v>
      </c>
    </row>
    <row r="47" spans="2:12" x14ac:dyDescent="0.25">
      <c r="B47" s="547"/>
      <c r="C47" s="380" t="s">
        <v>136</v>
      </c>
      <c r="D47" s="342" t="s">
        <v>137</v>
      </c>
      <c r="E47" s="404">
        <v>0.66938500000000001</v>
      </c>
      <c r="F47" s="405">
        <v>0.26700000000000002</v>
      </c>
      <c r="G47" s="405">
        <v>0.528061</v>
      </c>
      <c r="H47" s="404">
        <v>0.68</v>
      </c>
      <c r="I47" s="408">
        <f>(G47-E47)/E47</f>
        <v>-0.21112513725285151</v>
      </c>
      <c r="J47" s="407">
        <f t="shared" si="0"/>
        <v>1.4387287466346696E-2</v>
      </c>
      <c r="K47" s="265"/>
      <c r="L47" s="268" t="s">
        <v>179</v>
      </c>
    </row>
    <row r="48" spans="2:12" x14ac:dyDescent="0.25">
      <c r="B48" s="547"/>
      <c r="C48" s="380" t="s">
        <v>138</v>
      </c>
      <c r="D48" s="342" t="s">
        <v>139</v>
      </c>
      <c r="E48" s="404">
        <v>4.8210569999999997</v>
      </c>
      <c r="F48" s="405">
        <v>0.58699999999999997</v>
      </c>
      <c r="G48" s="405">
        <v>2.9</v>
      </c>
      <c r="H48" s="404"/>
      <c r="I48" s="408">
        <f>(G48-E48)/E48</f>
        <v>-0.39847216077304209</v>
      </c>
      <c r="J48" s="407">
        <f t="shared" si="0"/>
        <v>7.9011958187416631E-2</v>
      </c>
      <c r="K48" s="265"/>
      <c r="L48" s="268" t="s">
        <v>180</v>
      </c>
    </row>
    <row r="49" spans="2:12" x14ac:dyDescent="0.25">
      <c r="B49" s="547"/>
      <c r="C49" s="380" t="s">
        <v>253</v>
      </c>
      <c r="D49" s="342" t="s">
        <v>254</v>
      </c>
      <c r="E49" s="404"/>
      <c r="F49" s="405"/>
      <c r="G49" s="405"/>
      <c r="H49" s="404">
        <v>0.112</v>
      </c>
      <c r="I49" s="408"/>
      <c r="J49" s="407">
        <f t="shared" si="0"/>
        <v>0</v>
      </c>
      <c r="K49" s="265"/>
      <c r="L49" s="268" t="s">
        <v>37</v>
      </c>
    </row>
    <row r="50" spans="2:12" x14ac:dyDescent="0.25">
      <c r="B50" s="547"/>
      <c r="C50" s="380" t="s">
        <v>255</v>
      </c>
      <c r="D50" s="342" t="s">
        <v>46</v>
      </c>
      <c r="E50" s="404"/>
      <c r="F50" s="405"/>
      <c r="G50" s="405"/>
      <c r="H50" s="404">
        <v>0.97299999999999998</v>
      </c>
      <c r="I50" s="408"/>
      <c r="J50" s="407">
        <f t="shared" si="0"/>
        <v>0</v>
      </c>
      <c r="K50" s="265"/>
      <c r="L50" s="268" t="s">
        <v>258</v>
      </c>
    </row>
    <row r="51" spans="2:12" x14ac:dyDescent="0.25">
      <c r="B51" s="547"/>
      <c r="C51" s="380" t="s">
        <v>140</v>
      </c>
      <c r="D51" s="342" t="s">
        <v>55</v>
      </c>
      <c r="E51" s="404">
        <v>0.20963999999999999</v>
      </c>
      <c r="F51" s="405">
        <v>0.23499999999999999</v>
      </c>
      <c r="G51" s="405">
        <v>1.25E-3</v>
      </c>
      <c r="H51" s="404">
        <v>0</v>
      </c>
      <c r="I51" s="408">
        <f t="shared" ref="I51:I58" si="1">(G51-E51)/E51</f>
        <v>-0.99403739744323605</v>
      </c>
      <c r="J51" s="407">
        <f t="shared" si="0"/>
        <v>3.4056878529058895E-5</v>
      </c>
      <c r="K51" s="265"/>
      <c r="L51" s="268" t="s">
        <v>181</v>
      </c>
    </row>
    <row r="52" spans="2:12" x14ac:dyDescent="0.25">
      <c r="B52" s="547"/>
      <c r="C52" s="380" t="s">
        <v>141</v>
      </c>
      <c r="D52" s="342" t="s">
        <v>57</v>
      </c>
      <c r="E52" s="404">
        <v>1.8086</v>
      </c>
      <c r="F52" s="405">
        <v>0.39800000000000002</v>
      </c>
      <c r="G52" s="405">
        <v>1.5751409999999999</v>
      </c>
      <c r="H52" s="404">
        <v>1.714</v>
      </c>
      <c r="I52" s="408">
        <f t="shared" si="1"/>
        <v>-0.12908271591286083</v>
      </c>
      <c r="J52" s="407">
        <f t="shared" si="0"/>
        <v>4.2915508562512285E-2</v>
      </c>
      <c r="K52" s="265"/>
      <c r="L52" s="268" t="s">
        <v>181</v>
      </c>
    </row>
    <row r="53" spans="2:12" x14ac:dyDescent="0.25">
      <c r="B53" s="547"/>
      <c r="C53" s="380" t="s">
        <v>142</v>
      </c>
      <c r="D53" s="342" t="s">
        <v>143</v>
      </c>
      <c r="E53" s="404">
        <v>0.75</v>
      </c>
      <c r="F53" s="405">
        <v>0.127</v>
      </c>
      <c r="G53" s="405">
        <v>0.97899999999999998</v>
      </c>
      <c r="H53" s="404"/>
      <c r="I53" s="408">
        <f t="shared" si="1"/>
        <v>0.30533333333333329</v>
      </c>
      <c r="J53" s="407">
        <f t="shared" si="0"/>
        <v>2.6673347263958928E-2</v>
      </c>
      <c r="K53" s="265"/>
      <c r="L53" s="268" t="s">
        <v>40</v>
      </c>
    </row>
    <row r="54" spans="2:12" x14ac:dyDescent="0.25">
      <c r="B54" s="547"/>
      <c r="C54" s="380" t="s">
        <v>144</v>
      </c>
      <c r="D54" s="342" t="s">
        <v>145</v>
      </c>
      <c r="E54" s="404">
        <v>0.511907</v>
      </c>
      <c r="F54" s="405">
        <v>0.13700000000000001</v>
      </c>
      <c r="G54" s="405">
        <v>0.32500000000000001</v>
      </c>
      <c r="H54" s="404">
        <v>0.52</v>
      </c>
      <c r="I54" s="408">
        <f t="shared" si="1"/>
        <v>-0.36511905482831841</v>
      </c>
      <c r="J54" s="407">
        <f t="shared" si="0"/>
        <v>8.8547884175553138E-3</v>
      </c>
      <c r="K54" s="265"/>
      <c r="L54" s="268" t="s">
        <v>258</v>
      </c>
    </row>
    <row r="55" spans="2:12" ht="30" x14ac:dyDescent="0.25">
      <c r="B55" s="547"/>
      <c r="C55" s="380" t="s">
        <v>146</v>
      </c>
      <c r="D55" s="346" t="s">
        <v>147</v>
      </c>
      <c r="E55" s="404">
        <v>0.32808300000000001</v>
      </c>
      <c r="F55" s="405">
        <v>0.29199999999999998</v>
      </c>
      <c r="G55" s="405">
        <v>0.32528899999999999</v>
      </c>
      <c r="H55" s="404">
        <v>0.29599999999999999</v>
      </c>
      <c r="I55" s="408">
        <f t="shared" si="1"/>
        <v>-8.5161376846713144E-3</v>
      </c>
      <c r="J55" s="407">
        <f t="shared" si="0"/>
        <v>8.8626623678712303E-3</v>
      </c>
      <c r="K55" s="265"/>
      <c r="L55" s="268" t="s">
        <v>181</v>
      </c>
    </row>
    <row r="56" spans="2:12" x14ac:dyDescent="0.25">
      <c r="B56" s="547"/>
      <c r="C56" s="380" t="s">
        <v>148</v>
      </c>
      <c r="D56" s="342" t="s">
        <v>149</v>
      </c>
      <c r="E56" s="404">
        <v>0.459621</v>
      </c>
      <c r="F56" s="405">
        <v>0.23200000000000001</v>
      </c>
      <c r="G56" s="405">
        <v>0.46207799999999999</v>
      </c>
      <c r="H56" s="404">
        <v>0.40300000000000002</v>
      </c>
      <c r="I56" s="408">
        <f t="shared" si="1"/>
        <v>5.3457087469893387E-3</v>
      </c>
      <c r="J56" s="407">
        <f t="shared" si="0"/>
        <v>1.258954745356038E-2</v>
      </c>
      <c r="K56" s="265"/>
      <c r="L56" s="268" t="s">
        <v>181</v>
      </c>
    </row>
    <row r="57" spans="2:12" ht="30" x14ac:dyDescent="0.25">
      <c r="B57" s="547"/>
      <c r="C57" s="380" t="s">
        <v>150</v>
      </c>
      <c r="D57" s="346" t="s">
        <v>151</v>
      </c>
      <c r="E57" s="404">
        <v>16.741923</v>
      </c>
      <c r="F57" s="405">
        <v>14.117000000000001</v>
      </c>
      <c r="G57" s="405">
        <v>15.3207</v>
      </c>
      <c r="H57" s="404">
        <v>12.065</v>
      </c>
      <c r="I57" s="408">
        <f t="shared" si="1"/>
        <v>-8.4890069079878075E-2</v>
      </c>
      <c r="J57" s="407">
        <f t="shared" si="0"/>
        <v>0.4174201751041221</v>
      </c>
      <c r="K57" s="265"/>
      <c r="L57" s="268" t="s">
        <v>40</v>
      </c>
    </row>
    <row r="58" spans="2:12" ht="30" x14ac:dyDescent="0.25">
      <c r="B58" s="547"/>
      <c r="C58" s="380" t="s">
        <v>152</v>
      </c>
      <c r="D58" s="346" t="s">
        <v>153</v>
      </c>
      <c r="E58" s="404">
        <v>0.28401700000000002</v>
      </c>
      <c r="F58" s="405">
        <v>5.5E-2</v>
      </c>
      <c r="G58" s="405">
        <v>0.247832</v>
      </c>
      <c r="H58" s="404">
        <v>0.14799999999999999</v>
      </c>
      <c r="I58" s="408">
        <f t="shared" si="1"/>
        <v>-0.12740434551452914</v>
      </c>
      <c r="J58" s="407">
        <f t="shared" si="0"/>
        <v>6.7523074556909788E-3</v>
      </c>
      <c r="K58" s="265"/>
      <c r="L58" s="268" t="s">
        <v>179</v>
      </c>
    </row>
    <row r="59" spans="2:12" ht="30" x14ac:dyDescent="0.25">
      <c r="B59" s="547"/>
      <c r="C59" s="380" t="s">
        <v>154</v>
      </c>
      <c r="D59" s="346" t="s">
        <v>155</v>
      </c>
      <c r="E59" s="404"/>
      <c r="F59" s="405"/>
      <c r="G59" s="405">
        <v>0.63500000000000001</v>
      </c>
      <c r="H59" s="404">
        <v>0.63500000000000001</v>
      </c>
      <c r="I59" s="406" t="s">
        <v>195</v>
      </c>
      <c r="J59" s="407">
        <f t="shared" si="0"/>
        <v>1.730089429276192E-2</v>
      </c>
      <c r="K59" s="265"/>
      <c r="L59" s="268" t="s">
        <v>37</v>
      </c>
    </row>
    <row r="60" spans="2:12" x14ac:dyDescent="0.25">
      <c r="B60" s="547"/>
      <c r="C60" s="380" t="s">
        <v>156</v>
      </c>
      <c r="D60" s="342" t="s">
        <v>157</v>
      </c>
      <c r="E60" s="409"/>
      <c r="F60" s="410"/>
      <c r="G60" s="410">
        <v>0.1</v>
      </c>
      <c r="H60" s="404">
        <v>0.1</v>
      </c>
      <c r="I60" s="406" t="s">
        <v>195</v>
      </c>
      <c r="J60" s="412">
        <f t="shared" si="0"/>
        <v>2.7245502823247118E-3</v>
      </c>
      <c r="K60" s="265"/>
      <c r="L60" s="268" t="s">
        <v>37</v>
      </c>
    </row>
    <row r="61" spans="2:12" x14ac:dyDescent="0.25">
      <c r="B61" s="240"/>
      <c r="C61" s="382"/>
      <c r="D61" s="349" t="s">
        <v>165</v>
      </c>
      <c r="E61" s="400">
        <f>SUM(E21:E60)</f>
        <v>46.426823999999989</v>
      </c>
      <c r="F61" s="400">
        <f>SUM(F21:F60)</f>
        <v>22.331082000000002</v>
      </c>
      <c r="G61" s="401">
        <f>SUM(G21:G60)</f>
        <v>35.929462000000008</v>
      </c>
      <c r="H61" s="400">
        <f>SUM(H21:H60)</f>
        <v>34.761405999999994</v>
      </c>
      <c r="I61" s="413"/>
      <c r="J61" s="414"/>
      <c r="K61" s="184"/>
      <c r="L61" s="268"/>
    </row>
    <row r="62" spans="2:12" x14ac:dyDescent="0.25">
      <c r="B62" s="77"/>
      <c r="D62" s="350" t="s">
        <v>38</v>
      </c>
      <c r="E62" s="404">
        <f>E163</f>
        <v>49.454354000000002</v>
      </c>
      <c r="F62" s="404">
        <f>F163</f>
        <v>28.993544</v>
      </c>
      <c r="G62" s="410">
        <f>'KTF Stand 8-25'!D13</f>
        <v>36.703305</v>
      </c>
      <c r="H62" s="409">
        <f>'KTF Stand 8-25'!E13</f>
        <v>35.660806000000001</v>
      </c>
      <c r="I62" s="415"/>
      <c r="J62" s="416"/>
      <c r="K62" s="184"/>
      <c r="L62" s="268"/>
    </row>
    <row r="63" spans="2:12" x14ac:dyDescent="0.25">
      <c r="B63" s="241"/>
      <c r="C63" s="386"/>
      <c r="D63" s="351" t="s">
        <v>177</v>
      </c>
      <c r="E63" s="417">
        <f>E62-E61</f>
        <v>3.0275300000000129</v>
      </c>
      <c r="F63" s="417">
        <f>F62-F61</f>
        <v>6.6624619999999979</v>
      </c>
      <c r="G63" s="418">
        <f>G62-G61</f>
        <v>0.77384299999999229</v>
      </c>
      <c r="H63" s="417">
        <f>H62-H61</f>
        <v>0.89940000000000708</v>
      </c>
      <c r="I63" s="419"/>
      <c r="J63" s="420">
        <f>G63/$G$62</f>
        <v>2.1083741641249806E-2</v>
      </c>
      <c r="K63" s="265"/>
      <c r="L63" s="268" t="s">
        <v>37</v>
      </c>
    </row>
    <row r="64" spans="2:12" x14ac:dyDescent="0.25">
      <c r="D64" s="346"/>
      <c r="E64" s="421"/>
      <c r="F64" s="421"/>
      <c r="G64" s="421"/>
      <c r="H64" s="421"/>
    </row>
    <row r="65" spans="2:14" x14ac:dyDescent="0.25">
      <c r="D65" s="346"/>
      <c r="E65" s="422">
        <v>2024</v>
      </c>
      <c r="F65" s="423">
        <v>2024</v>
      </c>
      <c r="G65" s="423">
        <v>2025</v>
      </c>
      <c r="H65" s="422">
        <v>2026</v>
      </c>
      <c r="I65" s="424" t="s">
        <v>269</v>
      </c>
      <c r="J65" s="424" t="s">
        <v>270</v>
      </c>
    </row>
    <row r="66" spans="2:14" x14ac:dyDescent="0.25">
      <c r="D66" s="352" t="s">
        <v>40</v>
      </c>
      <c r="E66" s="400">
        <f t="shared" ref="E66:E74" si="2">SUMIF($L$21:$L$63,$D66,$E$21:$E$63)</f>
        <v>17.616527999999999</v>
      </c>
      <c r="F66" s="400">
        <f t="shared" ref="F66:F74" si="3">SUMIF($L$21:$L$63,$D66,$F$21:$F$63)</f>
        <v>14.269</v>
      </c>
      <c r="G66" s="401">
        <f t="shared" ref="G66:G74" si="4">SUMIF($L$21:$L$63,$D66,$G$21:$G$63)</f>
        <v>16.529112999999999</v>
      </c>
      <c r="H66" s="400">
        <f t="shared" ref="H66:H74" si="5">SUMIF($L$21:$L$63,$D66,$H$21:$H$63)</f>
        <v>12.277999999999999</v>
      </c>
      <c r="I66" s="425">
        <f>IF(E66&lt;&gt;0,G66/E66-1,"-")</f>
        <v>-6.1726975939867423E-2</v>
      </c>
      <c r="J66" s="425">
        <f>IF(F66&lt;&gt;0,G66/F66-1,"-")</f>
        <v>0.15839323007919259</v>
      </c>
    </row>
    <row r="67" spans="2:14" x14ac:dyDescent="0.25">
      <c r="D67" s="353" t="s">
        <v>178</v>
      </c>
      <c r="E67" s="404">
        <f t="shared" si="2"/>
        <v>0</v>
      </c>
      <c r="F67" s="404">
        <f t="shared" si="3"/>
        <v>0</v>
      </c>
      <c r="G67" s="405">
        <f t="shared" si="4"/>
        <v>3.4</v>
      </c>
      <c r="H67" s="404">
        <f t="shared" si="5"/>
        <v>0</v>
      </c>
      <c r="I67" s="426" t="str">
        <f t="shared" ref="I67:I73" si="6">IF(E67&lt;&gt;0,G67/E67-1,"-")</f>
        <v>-</v>
      </c>
      <c r="J67" s="426" t="str">
        <f t="shared" ref="J67:J76" si="7">IF(F67&lt;&gt;0,G67/F67-1,"-")</f>
        <v>-</v>
      </c>
    </row>
    <row r="68" spans="2:14" x14ac:dyDescent="0.25">
      <c r="D68" s="354" t="s">
        <v>257</v>
      </c>
      <c r="E68" s="404">
        <f t="shared" si="2"/>
        <v>4.3877829999999998</v>
      </c>
      <c r="F68" s="404">
        <f t="shared" si="3"/>
        <v>2.5070000000000001</v>
      </c>
      <c r="G68" s="405">
        <f t="shared" si="4"/>
        <v>3.1653500000000001</v>
      </c>
      <c r="H68" s="404">
        <f t="shared" si="5"/>
        <v>9.7940000000000005</v>
      </c>
      <c r="I68" s="426">
        <f t="shared" si="6"/>
        <v>-0.27859923792949648</v>
      </c>
      <c r="J68" s="426">
        <f t="shared" si="7"/>
        <v>0.26260470682090142</v>
      </c>
    </row>
    <row r="69" spans="2:14" x14ac:dyDescent="0.25">
      <c r="D69" s="353" t="s">
        <v>180</v>
      </c>
      <c r="E69" s="404">
        <f t="shared" si="2"/>
        <v>4.8210569999999997</v>
      </c>
      <c r="F69" s="404">
        <f t="shared" si="3"/>
        <v>0.58699999999999997</v>
      </c>
      <c r="G69" s="405">
        <f t="shared" si="4"/>
        <v>2.9</v>
      </c>
      <c r="H69" s="404">
        <f t="shared" si="5"/>
        <v>0</v>
      </c>
      <c r="I69" s="426">
        <f t="shared" si="6"/>
        <v>-0.39847216077304204</v>
      </c>
      <c r="J69" s="426">
        <f t="shared" si="7"/>
        <v>3.9403747870528107</v>
      </c>
      <c r="N69" s="242"/>
    </row>
    <row r="70" spans="2:14" x14ac:dyDescent="0.25">
      <c r="D70" s="353" t="s">
        <v>181</v>
      </c>
      <c r="E70" s="404">
        <f t="shared" si="2"/>
        <v>2.8059439999999998</v>
      </c>
      <c r="F70" s="404">
        <f t="shared" si="3"/>
        <v>1.5452590000000002</v>
      </c>
      <c r="G70" s="405">
        <f t="shared" si="4"/>
        <v>2.8074789999999998</v>
      </c>
      <c r="H70" s="404">
        <f t="shared" si="5"/>
        <v>3.0482939999999998</v>
      </c>
      <c r="I70" s="426">
        <f t="shared" si="6"/>
        <v>5.4705297040857914E-4</v>
      </c>
      <c r="J70" s="426">
        <f t="shared" si="7"/>
        <v>0.81683394175345336</v>
      </c>
    </row>
    <row r="71" spans="2:14" x14ac:dyDescent="0.25">
      <c r="D71" s="353" t="s">
        <v>179</v>
      </c>
      <c r="E71" s="404">
        <f t="shared" si="2"/>
        <v>2.9704820000000001</v>
      </c>
      <c r="F71" s="404">
        <f t="shared" si="3"/>
        <v>1.4440000000000002</v>
      </c>
      <c r="G71" s="405">
        <f t="shared" si="4"/>
        <v>2.1130960000000001</v>
      </c>
      <c r="H71" s="404">
        <f t="shared" si="5"/>
        <v>3.0960000000000005</v>
      </c>
      <c r="I71" s="426">
        <f t="shared" si="6"/>
        <v>-0.28863531238364681</v>
      </c>
      <c r="J71" s="426">
        <f t="shared" si="7"/>
        <v>0.46336288088642652</v>
      </c>
    </row>
    <row r="72" spans="2:14" x14ac:dyDescent="0.25">
      <c r="D72" s="354" t="s">
        <v>258</v>
      </c>
      <c r="E72" s="404">
        <f t="shared" si="2"/>
        <v>2.0249069999999998</v>
      </c>
      <c r="F72" s="404">
        <f t="shared" si="3"/>
        <v>0.7330000000000001</v>
      </c>
      <c r="G72" s="405">
        <f t="shared" si="4"/>
        <v>1.7963169999999999</v>
      </c>
      <c r="H72" s="404">
        <f t="shared" si="5"/>
        <v>2.194</v>
      </c>
      <c r="I72" s="426">
        <f t="shared" si="6"/>
        <v>-0.11288913515534282</v>
      </c>
      <c r="J72" s="426">
        <f t="shared" si="7"/>
        <v>1.4506371077762616</v>
      </c>
    </row>
    <row r="73" spans="2:14" x14ac:dyDescent="0.25">
      <c r="D73" s="355" t="s">
        <v>28</v>
      </c>
      <c r="E73" s="404">
        <f t="shared" si="2"/>
        <v>10.6</v>
      </c>
      <c r="F73" s="404">
        <f t="shared" si="3"/>
        <v>0</v>
      </c>
      <c r="G73" s="405">
        <f t="shared" si="4"/>
        <v>0</v>
      </c>
      <c r="H73" s="404">
        <f t="shared" si="5"/>
        <v>0</v>
      </c>
      <c r="I73" s="426">
        <f t="shared" si="6"/>
        <v>-1</v>
      </c>
      <c r="J73" s="426" t="str">
        <f t="shared" si="7"/>
        <v>-</v>
      </c>
    </row>
    <row r="74" spans="2:14" x14ac:dyDescent="0.25">
      <c r="D74" s="356" t="s">
        <v>37</v>
      </c>
      <c r="E74" s="409">
        <f t="shared" si="2"/>
        <v>4.2276530000000125</v>
      </c>
      <c r="F74" s="409">
        <f t="shared" si="3"/>
        <v>7.9082849999999976</v>
      </c>
      <c r="G74" s="410">
        <f t="shared" si="4"/>
        <v>3.9919499999999926</v>
      </c>
      <c r="H74" s="409">
        <f t="shared" si="5"/>
        <v>5.2505120000000067</v>
      </c>
      <c r="I74" s="427">
        <f>IF(E74&lt;&gt;0,G74/E74-1,"-")</f>
        <v>-5.5752683581178353E-2</v>
      </c>
      <c r="J74" s="426">
        <f t="shared" si="7"/>
        <v>-0.49521925423780333</v>
      </c>
    </row>
    <row r="75" spans="2:14" x14ac:dyDescent="0.25">
      <c r="D75" s="357" t="s">
        <v>165</v>
      </c>
      <c r="E75" s="417">
        <f>SUM(E66:E74)</f>
        <v>49.454354000000009</v>
      </c>
      <c r="F75" s="417">
        <f>SUM(F66:F74)</f>
        <v>28.993544</v>
      </c>
      <c r="G75" s="417">
        <f>SUM(G66:G74)</f>
        <v>36.703304999999993</v>
      </c>
      <c r="H75" s="417">
        <f>SUM(H66:H74)</f>
        <v>35.660806000000001</v>
      </c>
      <c r="I75" s="428">
        <f t="shared" ref="I75:I76" si="8">G75/E75-1</f>
        <v>-0.25783470955863697</v>
      </c>
      <c r="J75" s="429">
        <f t="shared" si="7"/>
        <v>0.26591302532729322</v>
      </c>
    </row>
    <row r="76" spans="2:14" x14ac:dyDescent="0.25">
      <c r="D76" s="358" t="s">
        <v>197</v>
      </c>
      <c r="E76" s="417">
        <f>E75-E27</f>
        <v>38.854354000000008</v>
      </c>
      <c r="F76" s="417">
        <f>F75-F27</f>
        <v>28.993544</v>
      </c>
      <c r="G76" s="418">
        <f>G75</f>
        <v>36.703304999999993</v>
      </c>
      <c r="H76" s="417">
        <f>H75</f>
        <v>35.660806000000001</v>
      </c>
      <c r="I76" s="428">
        <f t="shared" si="8"/>
        <v>-5.5361852110577203E-2</v>
      </c>
      <c r="J76" s="427">
        <f t="shared" si="7"/>
        <v>0.26591302532729322</v>
      </c>
    </row>
    <row r="77" spans="2:14" x14ac:dyDescent="0.25">
      <c r="C77" s="387"/>
      <c r="E77" s="430"/>
      <c r="F77" s="430"/>
    </row>
    <row r="78" spans="2:14" ht="15.75" x14ac:dyDescent="0.25">
      <c r="B78" s="467" t="s">
        <v>214</v>
      </c>
      <c r="E78" s="544" t="s">
        <v>259</v>
      </c>
      <c r="F78" s="545"/>
    </row>
    <row r="79" spans="2:14" x14ac:dyDescent="0.25">
      <c r="C79" s="388"/>
      <c r="E79" s="466"/>
      <c r="F79" s="466"/>
    </row>
    <row r="80" spans="2:14" x14ac:dyDescent="0.25">
      <c r="C80" s="388"/>
      <c r="E80" s="466"/>
      <c r="F80" s="466"/>
    </row>
    <row r="81" spans="3:6" x14ac:dyDescent="0.25">
      <c r="C81" s="388"/>
      <c r="E81" s="466"/>
      <c r="F81" s="466"/>
    </row>
    <row r="82" spans="3:6" x14ac:dyDescent="0.25">
      <c r="C82" s="388"/>
      <c r="E82" s="466"/>
      <c r="F82" s="466"/>
    </row>
    <row r="83" spans="3:6" x14ac:dyDescent="0.25">
      <c r="C83" s="388"/>
      <c r="E83" s="466"/>
      <c r="F83" s="466"/>
    </row>
    <row r="84" spans="3:6" x14ac:dyDescent="0.25">
      <c r="C84" s="388"/>
      <c r="E84" s="466"/>
      <c r="F84" s="466"/>
    </row>
    <row r="85" spans="3:6" x14ac:dyDescent="0.25">
      <c r="C85" s="388"/>
      <c r="E85" s="466"/>
      <c r="F85" s="466"/>
    </row>
    <row r="86" spans="3:6" x14ac:dyDescent="0.25">
      <c r="C86" s="388"/>
      <c r="E86" s="466"/>
      <c r="F86" s="466"/>
    </row>
    <row r="87" spans="3:6" x14ac:dyDescent="0.25">
      <c r="C87" s="388"/>
      <c r="E87" s="466"/>
      <c r="F87" s="466"/>
    </row>
    <row r="88" spans="3:6" x14ac:dyDescent="0.25">
      <c r="C88" s="388"/>
      <c r="E88" s="466"/>
      <c r="F88" s="466"/>
    </row>
    <row r="89" spans="3:6" x14ac:dyDescent="0.25">
      <c r="C89" s="388"/>
      <c r="E89" s="466"/>
      <c r="F89" s="466"/>
    </row>
    <row r="90" spans="3:6" x14ac:dyDescent="0.25">
      <c r="C90" s="388"/>
      <c r="E90" s="466"/>
      <c r="F90" s="466"/>
    </row>
    <row r="91" spans="3:6" x14ac:dyDescent="0.25">
      <c r="C91" s="388"/>
      <c r="E91" s="466"/>
      <c r="F91" s="466"/>
    </row>
    <row r="92" spans="3:6" x14ac:dyDescent="0.25">
      <c r="C92" s="388"/>
      <c r="E92" s="466"/>
      <c r="F92" s="466"/>
    </row>
    <row r="93" spans="3:6" x14ac:dyDescent="0.25">
      <c r="C93" s="388"/>
      <c r="E93" s="466"/>
      <c r="F93" s="466"/>
    </row>
    <row r="94" spans="3:6" x14ac:dyDescent="0.25">
      <c r="C94" s="388"/>
      <c r="E94" s="466"/>
      <c r="F94" s="466"/>
    </row>
    <row r="95" spans="3:6" x14ac:dyDescent="0.25">
      <c r="C95" s="388"/>
      <c r="E95" s="466"/>
      <c r="F95" s="466"/>
    </row>
    <row r="96" spans="3:6" x14ac:dyDescent="0.25">
      <c r="C96" s="388"/>
      <c r="E96" s="466"/>
      <c r="F96" s="466"/>
    </row>
    <row r="97" spans="3:6" x14ac:dyDescent="0.25">
      <c r="C97" s="388"/>
      <c r="E97" s="466"/>
      <c r="F97" s="466"/>
    </row>
    <row r="98" spans="3:6" x14ac:dyDescent="0.25">
      <c r="C98" s="388"/>
      <c r="E98" s="466"/>
      <c r="F98" s="466"/>
    </row>
    <row r="99" spans="3:6" x14ac:dyDescent="0.25">
      <c r="C99" s="388"/>
      <c r="E99" s="466"/>
      <c r="F99" s="466"/>
    </row>
    <row r="100" spans="3:6" x14ac:dyDescent="0.25">
      <c r="C100" s="388"/>
      <c r="E100" s="466"/>
      <c r="F100" s="466"/>
    </row>
    <row r="101" spans="3:6" x14ac:dyDescent="0.25">
      <c r="C101" s="388"/>
      <c r="E101" s="466"/>
      <c r="F101" s="466"/>
    </row>
    <row r="102" spans="3:6" x14ac:dyDescent="0.25">
      <c r="C102" s="388"/>
      <c r="E102" s="466"/>
      <c r="F102" s="466"/>
    </row>
    <row r="103" spans="3:6" x14ac:dyDescent="0.25">
      <c r="C103" s="388"/>
      <c r="E103" s="466"/>
      <c r="F103" s="466"/>
    </row>
    <row r="104" spans="3:6" x14ac:dyDescent="0.25">
      <c r="C104" s="388"/>
      <c r="E104" s="466"/>
      <c r="F104" s="466"/>
    </row>
    <row r="105" spans="3:6" x14ac:dyDescent="0.25">
      <c r="C105" s="388"/>
      <c r="E105" s="466"/>
      <c r="F105" s="466"/>
    </row>
    <row r="106" spans="3:6" x14ac:dyDescent="0.25">
      <c r="C106" s="388"/>
      <c r="E106" s="466"/>
      <c r="F106" s="466"/>
    </row>
    <row r="107" spans="3:6" x14ac:dyDescent="0.25">
      <c r="C107" s="388"/>
      <c r="E107" s="466"/>
      <c r="F107" s="466"/>
    </row>
    <row r="108" spans="3:6" x14ac:dyDescent="0.25">
      <c r="C108" s="388"/>
      <c r="E108" s="466"/>
      <c r="F108" s="466"/>
    </row>
    <row r="109" spans="3:6" x14ac:dyDescent="0.25">
      <c r="C109" s="388"/>
      <c r="E109" s="466"/>
      <c r="F109" s="466"/>
    </row>
    <row r="110" spans="3:6" x14ac:dyDescent="0.25">
      <c r="C110" s="388"/>
      <c r="E110" s="466"/>
      <c r="F110" s="466"/>
    </row>
    <row r="111" spans="3:6" x14ac:dyDescent="0.25">
      <c r="C111" s="388"/>
      <c r="E111" s="466"/>
      <c r="F111" s="466"/>
    </row>
    <row r="112" spans="3:6" x14ac:dyDescent="0.25">
      <c r="C112" s="388"/>
      <c r="E112" s="466"/>
      <c r="F112" s="466"/>
    </row>
    <row r="113" spans="3:19" x14ac:dyDescent="0.25">
      <c r="C113" s="388"/>
      <c r="E113" s="466"/>
      <c r="F113" s="466"/>
    </row>
    <row r="114" spans="3:19" x14ac:dyDescent="0.25">
      <c r="C114" s="388"/>
      <c r="E114" s="466"/>
      <c r="F114" s="466"/>
    </row>
    <row r="115" spans="3:19" x14ac:dyDescent="0.25">
      <c r="C115" s="388"/>
      <c r="E115" s="466"/>
      <c r="F115" s="466"/>
    </row>
    <row r="116" spans="3:19" x14ac:dyDescent="0.25">
      <c r="C116" s="388"/>
      <c r="E116" s="466"/>
      <c r="F116" s="466"/>
    </row>
    <row r="117" spans="3:19" x14ac:dyDescent="0.25">
      <c r="C117" s="388"/>
      <c r="E117" s="466"/>
      <c r="F117" s="466"/>
    </row>
    <row r="118" spans="3:19" x14ac:dyDescent="0.25">
      <c r="C118" s="388"/>
      <c r="E118" s="466"/>
      <c r="F118" s="466"/>
    </row>
    <row r="119" spans="3:19" x14ac:dyDescent="0.25">
      <c r="C119" s="388"/>
      <c r="E119" s="466"/>
      <c r="F119" s="466"/>
    </row>
    <row r="120" spans="3:19" x14ac:dyDescent="0.25">
      <c r="C120" s="388"/>
      <c r="E120" s="430"/>
      <c r="F120" s="430"/>
    </row>
    <row r="121" spans="3:19" x14ac:dyDescent="0.25">
      <c r="C121" s="387"/>
      <c r="D121" s="359" t="s">
        <v>4</v>
      </c>
      <c r="E121" s="423">
        <v>2025</v>
      </c>
      <c r="F121" s="431">
        <f>E121+1</f>
        <v>2026</v>
      </c>
      <c r="G121" s="431">
        <f>F121+1</f>
        <v>2027</v>
      </c>
      <c r="H121" s="431">
        <f t="shared" ref="H121:I121" si="9">G121+1</f>
        <v>2028</v>
      </c>
      <c r="I121" s="432">
        <f t="shared" si="9"/>
        <v>2029</v>
      </c>
    </row>
    <row r="122" spans="3:19" x14ac:dyDescent="0.25">
      <c r="C122" s="387"/>
      <c r="D122" s="360" t="s">
        <v>215</v>
      </c>
      <c r="E122" s="430">
        <v>16.926442000000002</v>
      </c>
      <c r="F122" s="430">
        <v>12.564456</v>
      </c>
      <c r="G122" s="430">
        <v>11.638096000000001</v>
      </c>
      <c r="H122" s="430">
        <v>11.920332</v>
      </c>
      <c r="I122" s="433">
        <v>12.258680999999999</v>
      </c>
      <c r="N122" s="271"/>
      <c r="O122" s="271"/>
      <c r="P122" s="271"/>
      <c r="Q122" s="271"/>
      <c r="R122" s="271"/>
      <c r="S122" s="271"/>
    </row>
    <row r="123" spans="3:19" x14ac:dyDescent="0.25">
      <c r="C123" s="387"/>
      <c r="D123" s="360" t="s">
        <v>216</v>
      </c>
      <c r="E123" s="430">
        <v>6.5653499999999996</v>
      </c>
      <c r="F123" s="430">
        <v>9.793901</v>
      </c>
      <c r="G123" s="430">
        <v>10.326357</v>
      </c>
      <c r="H123" s="430">
        <v>10.767445</v>
      </c>
      <c r="I123" s="433">
        <v>10.797529000000001</v>
      </c>
      <c r="N123" s="271"/>
      <c r="O123" s="271"/>
      <c r="P123" s="271"/>
      <c r="Q123" s="271"/>
      <c r="R123" s="271"/>
    </row>
    <row r="124" spans="3:19" x14ac:dyDescent="0.25">
      <c r="C124" s="387"/>
      <c r="D124" s="360" t="s">
        <v>217</v>
      </c>
      <c r="E124" s="430">
        <v>3.1792220000000002</v>
      </c>
      <c r="F124" s="430">
        <v>3.4776289999999999</v>
      </c>
      <c r="G124" s="430">
        <v>3.2389519999999998</v>
      </c>
      <c r="H124" s="430">
        <v>3.5776810000000001</v>
      </c>
      <c r="I124" s="433">
        <v>3.5682740000000002</v>
      </c>
      <c r="N124" s="271"/>
      <c r="O124" s="271"/>
      <c r="P124" s="271"/>
      <c r="Q124" s="271"/>
      <c r="R124" s="271"/>
    </row>
    <row r="125" spans="3:19" x14ac:dyDescent="0.25">
      <c r="C125" s="387"/>
      <c r="D125" s="360" t="s">
        <v>218</v>
      </c>
      <c r="E125" s="430">
        <v>2.144129</v>
      </c>
      <c r="F125" s="430">
        <v>2.9872969999999999</v>
      </c>
      <c r="G125" s="430">
        <v>3.363216</v>
      </c>
      <c r="H125" s="430">
        <v>3.6184159999999999</v>
      </c>
      <c r="I125" s="433">
        <v>3.3950109999999998</v>
      </c>
      <c r="N125" s="271"/>
      <c r="O125" s="271"/>
      <c r="P125" s="271"/>
      <c r="Q125" s="271"/>
      <c r="R125" s="271"/>
    </row>
    <row r="126" spans="3:19" x14ac:dyDescent="0.25">
      <c r="C126" s="387"/>
      <c r="D126" s="360" t="s">
        <v>219</v>
      </c>
      <c r="E126" s="430">
        <v>4.7893239999999997</v>
      </c>
      <c r="F126" s="430">
        <v>2.7295569999999998</v>
      </c>
      <c r="G126" s="430">
        <v>3.5176069999999999</v>
      </c>
      <c r="H126" s="430">
        <v>4.2279619999999998</v>
      </c>
      <c r="I126" s="433">
        <v>4.3999610000000002</v>
      </c>
      <c r="N126" s="271"/>
      <c r="O126" s="271"/>
      <c r="P126" s="271"/>
      <c r="Q126" s="271"/>
      <c r="R126" s="271"/>
    </row>
    <row r="127" spans="3:19" x14ac:dyDescent="0.25">
      <c r="C127" s="387"/>
      <c r="D127" s="360" t="s">
        <v>220</v>
      </c>
      <c r="E127" s="430">
        <v>0.99965599999999999</v>
      </c>
      <c r="F127" s="430">
        <v>1.7469779999999999</v>
      </c>
      <c r="G127" s="430">
        <v>2.01065</v>
      </c>
      <c r="H127" s="430">
        <v>2.1380750000000002</v>
      </c>
      <c r="I127" s="433">
        <v>2.318975</v>
      </c>
      <c r="N127" s="271"/>
      <c r="O127" s="271"/>
      <c r="P127" s="271"/>
      <c r="Q127" s="271"/>
      <c r="R127" s="271"/>
    </row>
    <row r="128" spans="3:19" x14ac:dyDescent="0.25">
      <c r="D128" s="360" t="s">
        <v>221</v>
      </c>
      <c r="E128" s="430">
        <v>0.83796700000000002</v>
      </c>
      <c r="F128" s="430">
        <v>1.000243</v>
      </c>
      <c r="G128" s="430">
        <v>1.193819</v>
      </c>
      <c r="H128" s="430">
        <v>1.3917060000000001</v>
      </c>
      <c r="I128" s="433">
        <v>1.3917060000000001</v>
      </c>
      <c r="N128" s="271"/>
      <c r="O128" s="271"/>
      <c r="P128" s="271"/>
      <c r="Q128" s="271"/>
      <c r="R128" s="271"/>
    </row>
    <row r="129" spans="2:18" x14ac:dyDescent="0.25">
      <c r="D129" s="360" t="s">
        <v>222</v>
      </c>
      <c r="E129" s="430">
        <v>0.73499999999999999</v>
      </c>
      <c r="F129" s="430">
        <v>0.76607800000000004</v>
      </c>
      <c r="G129" s="430">
        <v>0.76636700000000002</v>
      </c>
      <c r="H129" s="430">
        <v>0.76632800000000001</v>
      </c>
      <c r="I129" s="433">
        <v>0.76632800000000001</v>
      </c>
      <c r="N129" s="271"/>
      <c r="O129" s="271"/>
      <c r="P129" s="271"/>
      <c r="Q129" s="271"/>
      <c r="R129" s="271"/>
    </row>
    <row r="130" spans="2:18" x14ac:dyDescent="0.25">
      <c r="D130" s="361" t="s">
        <v>223</v>
      </c>
      <c r="E130" s="434">
        <v>0.45797399999999999</v>
      </c>
      <c r="F130" s="434">
        <v>0.59466699999999995</v>
      </c>
      <c r="G130" s="434">
        <v>0.61520399999999997</v>
      </c>
      <c r="H130" s="434">
        <v>0.61036100000000004</v>
      </c>
      <c r="I130" s="435">
        <v>0.61036100000000004</v>
      </c>
      <c r="N130" s="271"/>
      <c r="O130" s="271"/>
      <c r="P130" s="271"/>
      <c r="Q130" s="271"/>
      <c r="R130" s="271"/>
    </row>
    <row r="131" spans="2:18" x14ac:dyDescent="0.25">
      <c r="D131" s="362" t="s">
        <v>213</v>
      </c>
      <c r="E131" s="436">
        <f>SUM(E122:E130)</f>
        <v>36.635064</v>
      </c>
      <c r="F131" s="436">
        <f>SUM(F122:F130)</f>
        <v>35.660805999999994</v>
      </c>
      <c r="G131" s="436">
        <f t="shared" ref="G131:I131" si="10">SUM(G122:G130)</f>
        <v>36.670268</v>
      </c>
      <c r="H131" s="436">
        <f t="shared" si="10"/>
        <v>39.018306000000003</v>
      </c>
      <c r="I131" s="437">
        <f t="shared" si="10"/>
        <v>39.506825999999997</v>
      </c>
      <c r="N131" s="271"/>
      <c r="O131" s="271"/>
      <c r="P131" s="271"/>
      <c r="Q131" s="271"/>
      <c r="R131" s="271"/>
    </row>
    <row r="132" spans="2:18" x14ac:dyDescent="0.25">
      <c r="D132" s="363"/>
      <c r="E132" s="430"/>
      <c r="F132" s="430"/>
      <c r="G132" s="430"/>
      <c r="H132" s="430"/>
      <c r="I132" s="430"/>
      <c r="N132" s="271"/>
      <c r="O132" s="271"/>
      <c r="P132" s="271"/>
      <c r="Q132" s="271"/>
      <c r="R132" s="271"/>
    </row>
    <row r="133" spans="2:18" x14ac:dyDescent="0.25">
      <c r="D133" s="363"/>
      <c r="E133" s="430"/>
      <c r="F133" s="430"/>
      <c r="G133" s="430"/>
      <c r="H133" s="430"/>
      <c r="I133" s="430"/>
      <c r="N133" s="271"/>
      <c r="O133" s="271"/>
      <c r="P133" s="271"/>
      <c r="Q133" s="271"/>
      <c r="R133" s="271"/>
    </row>
    <row r="134" spans="2:18" x14ac:dyDescent="0.25">
      <c r="B134" s="388" t="s">
        <v>184</v>
      </c>
      <c r="I134" s="430"/>
      <c r="N134" s="271"/>
      <c r="O134" s="271"/>
      <c r="P134" s="271"/>
      <c r="Q134" s="271"/>
      <c r="R134" s="271"/>
    </row>
    <row r="135" spans="2:18" x14ac:dyDescent="0.25">
      <c r="E135" s="438" t="s">
        <v>1</v>
      </c>
      <c r="G135" s="439" t="s">
        <v>2</v>
      </c>
      <c r="H135" s="440" t="s">
        <v>0</v>
      </c>
      <c r="I135" s="430"/>
      <c r="N135" s="271"/>
      <c r="O135" s="271"/>
      <c r="P135" s="271"/>
      <c r="Q135" s="271"/>
      <c r="R135" s="271"/>
    </row>
    <row r="136" spans="2:18" x14ac:dyDescent="0.25">
      <c r="C136" s="389" t="s">
        <v>175</v>
      </c>
      <c r="D136" s="344"/>
      <c r="E136" s="441">
        <v>2024</v>
      </c>
      <c r="F136" s="442"/>
      <c r="G136" s="443">
        <v>2025</v>
      </c>
      <c r="H136" s="444">
        <v>2023</v>
      </c>
      <c r="I136" s="430"/>
      <c r="N136" s="271"/>
      <c r="O136" s="271"/>
      <c r="P136" s="271"/>
      <c r="Q136" s="271"/>
      <c r="R136" s="271"/>
    </row>
    <row r="137" spans="2:18" ht="30" x14ac:dyDescent="0.25">
      <c r="C137" s="390" t="s">
        <v>172</v>
      </c>
      <c r="D137" s="364" t="s">
        <v>176</v>
      </c>
      <c r="E137" s="400"/>
      <c r="F137" s="445"/>
      <c r="G137" s="401">
        <v>10</v>
      </c>
      <c r="H137" s="446"/>
      <c r="I137" s="430"/>
      <c r="N137" s="271"/>
      <c r="O137" s="271"/>
      <c r="P137" s="271"/>
      <c r="Q137" s="271"/>
      <c r="R137" s="271"/>
    </row>
    <row r="138" spans="2:18" x14ac:dyDescent="0.25">
      <c r="C138" s="391" t="s">
        <v>173</v>
      </c>
      <c r="D138" s="365" t="s">
        <v>174</v>
      </c>
      <c r="E138" s="409">
        <v>29.012560000000001</v>
      </c>
      <c r="F138" s="447"/>
      <c r="G138" s="410">
        <v>5.9577059999999999</v>
      </c>
      <c r="H138" s="448">
        <v>30.750689999999999</v>
      </c>
      <c r="I138" s="430"/>
      <c r="N138" s="271"/>
      <c r="O138" s="271"/>
      <c r="P138" s="271"/>
      <c r="Q138" s="271"/>
      <c r="R138" s="271"/>
    </row>
    <row r="139" spans="2:18" x14ac:dyDescent="0.25">
      <c r="C139" s="392"/>
      <c r="D139" s="351" t="s">
        <v>165</v>
      </c>
      <c r="E139" s="417">
        <f>SUM(E137:E138)</f>
        <v>29.012560000000001</v>
      </c>
      <c r="F139" s="449"/>
      <c r="G139" s="418">
        <f>SUM(G137:G138)</f>
        <v>15.957706</v>
      </c>
      <c r="H139" s="450">
        <f t="shared" ref="H139" si="11">SUM(H137:H138)</f>
        <v>30.750689999999999</v>
      </c>
      <c r="I139" s="430"/>
      <c r="N139" s="271"/>
      <c r="O139" s="271"/>
      <c r="P139" s="271"/>
      <c r="Q139" s="271"/>
      <c r="R139" s="271"/>
    </row>
    <row r="140" spans="2:18" x14ac:dyDescent="0.25">
      <c r="D140" s="346"/>
      <c r="E140" s="421"/>
      <c r="F140" s="421"/>
      <c r="G140" s="421"/>
      <c r="I140" s="430"/>
      <c r="N140" s="271"/>
      <c r="O140" s="271"/>
      <c r="P140" s="271"/>
      <c r="Q140" s="271"/>
      <c r="R140" s="271"/>
    </row>
    <row r="141" spans="2:18" x14ac:dyDescent="0.25">
      <c r="C141" s="392" t="s">
        <v>171</v>
      </c>
      <c r="D141" s="344"/>
      <c r="E141" s="441">
        <v>2024</v>
      </c>
      <c r="F141" s="442"/>
      <c r="G141" s="443">
        <v>2025</v>
      </c>
      <c r="H141" s="444">
        <v>2023</v>
      </c>
      <c r="I141" s="430"/>
      <c r="N141" s="271"/>
      <c r="O141" s="271"/>
      <c r="P141" s="271"/>
      <c r="Q141" s="271"/>
      <c r="R141" s="271"/>
    </row>
    <row r="142" spans="2:18" x14ac:dyDescent="0.25">
      <c r="C142" s="390" t="s">
        <v>158</v>
      </c>
      <c r="D142" s="342" t="s">
        <v>159</v>
      </c>
      <c r="E142" s="400">
        <v>0.31669000000000003</v>
      </c>
      <c r="F142" s="445"/>
      <c r="G142" s="401">
        <v>2.1</v>
      </c>
      <c r="H142" s="446">
        <v>29.012560000000001</v>
      </c>
      <c r="I142" s="430"/>
      <c r="N142" s="271"/>
      <c r="O142" s="271"/>
      <c r="P142" s="271"/>
      <c r="Q142" s="271"/>
      <c r="R142" s="271"/>
    </row>
    <row r="143" spans="2:18" x14ac:dyDescent="0.25">
      <c r="C143" s="390" t="s">
        <v>160</v>
      </c>
      <c r="D143" s="342" t="s">
        <v>161</v>
      </c>
      <c r="E143" s="404">
        <v>0</v>
      </c>
      <c r="F143" s="451"/>
      <c r="G143" s="405">
        <v>-2.0317590000000001</v>
      </c>
      <c r="H143" s="452">
        <v>0</v>
      </c>
      <c r="I143" s="430"/>
      <c r="N143" s="271"/>
      <c r="O143" s="271"/>
      <c r="P143" s="271"/>
      <c r="Q143" s="271"/>
      <c r="R143" s="271"/>
    </row>
    <row r="144" spans="2:18" x14ac:dyDescent="0.25">
      <c r="C144" s="392"/>
      <c r="D144" s="366" t="s">
        <v>165</v>
      </c>
      <c r="E144" s="417">
        <f>SUM(E142:E143)</f>
        <v>0.31669000000000003</v>
      </c>
      <c r="F144" s="449"/>
      <c r="G144" s="418">
        <f>SUM(G142:G143)</f>
        <v>6.8240999999999996E-2</v>
      </c>
      <c r="H144" s="450">
        <f t="shared" ref="H144" si="12">SUM(H142:H143)</f>
        <v>29.012560000000001</v>
      </c>
      <c r="I144" s="430"/>
      <c r="N144" s="271"/>
      <c r="O144" s="271"/>
      <c r="P144" s="271"/>
      <c r="Q144" s="271"/>
      <c r="R144" s="271"/>
    </row>
    <row r="145" spans="3:18" x14ac:dyDescent="0.25">
      <c r="E145" s="421"/>
      <c r="F145" s="421"/>
      <c r="G145" s="421"/>
      <c r="H145" s="421"/>
      <c r="I145" s="430"/>
      <c r="N145" s="271"/>
      <c r="O145" s="271"/>
      <c r="P145" s="271"/>
      <c r="Q145" s="271"/>
      <c r="R145" s="271"/>
    </row>
    <row r="146" spans="3:18" x14ac:dyDescent="0.25">
      <c r="C146" s="389" t="s">
        <v>168</v>
      </c>
      <c r="D146" s="344"/>
      <c r="E146" s="441">
        <v>2024</v>
      </c>
      <c r="F146" s="442"/>
      <c r="G146" s="443">
        <v>2025</v>
      </c>
      <c r="H146" s="444">
        <v>2023</v>
      </c>
      <c r="I146" s="430"/>
      <c r="N146" s="271"/>
      <c r="O146" s="271"/>
      <c r="P146" s="271"/>
      <c r="Q146" s="271"/>
      <c r="R146" s="271"/>
    </row>
    <row r="147" spans="3:18" x14ac:dyDescent="0.25">
      <c r="C147" s="390" t="s">
        <v>162</v>
      </c>
      <c r="D147" s="367" t="s">
        <v>186</v>
      </c>
      <c r="E147" s="400">
        <v>10.6</v>
      </c>
      <c r="F147" s="445"/>
      <c r="G147" s="401">
        <v>0</v>
      </c>
      <c r="H147" s="446">
        <v>0</v>
      </c>
    </row>
    <row r="148" spans="3:18" ht="30" x14ac:dyDescent="0.25">
      <c r="C148" s="391" t="s">
        <v>163</v>
      </c>
      <c r="D148" s="365" t="s">
        <v>164</v>
      </c>
      <c r="E148" s="409">
        <v>0.105876</v>
      </c>
      <c r="F148" s="447"/>
      <c r="G148" s="410">
        <v>0</v>
      </c>
      <c r="H148" s="448">
        <v>1.2418999999999999E-2</v>
      </c>
    </row>
    <row r="149" spans="3:18" x14ac:dyDescent="0.25">
      <c r="D149" s="346"/>
      <c r="E149" s="451"/>
      <c r="F149" s="451"/>
      <c r="G149" s="451"/>
      <c r="H149" s="451"/>
    </row>
    <row r="150" spans="3:18" x14ac:dyDescent="0.25">
      <c r="C150" s="393" t="s">
        <v>202</v>
      </c>
      <c r="D150" s="346"/>
      <c r="E150" s="451"/>
      <c r="F150" s="451"/>
      <c r="G150" s="451"/>
      <c r="H150" s="451"/>
    </row>
    <row r="151" spans="3:18" x14ac:dyDescent="0.25">
      <c r="D151" s="346"/>
      <c r="E151" s="418" t="s">
        <v>1</v>
      </c>
      <c r="F151" s="417" t="s">
        <v>0</v>
      </c>
      <c r="G151" s="417" t="s">
        <v>2</v>
      </c>
      <c r="H151" s="451"/>
    </row>
    <row r="152" spans="3:18" x14ac:dyDescent="0.25">
      <c r="D152" s="368" t="s">
        <v>194</v>
      </c>
      <c r="E152" s="422">
        <v>2024</v>
      </c>
      <c r="F152" s="422">
        <v>2024</v>
      </c>
      <c r="G152" s="422">
        <v>2025</v>
      </c>
      <c r="H152" s="453"/>
    </row>
    <row r="153" spans="3:18" x14ac:dyDescent="0.25">
      <c r="D153" s="367"/>
      <c r="E153" s="454"/>
      <c r="F153" s="453"/>
      <c r="G153" s="455"/>
      <c r="H153" s="454"/>
    </row>
    <row r="154" spans="3:18" x14ac:dyDescent="0.25">
      <c r="D154" s="369" t="s">
        <v>191</v>
      </c>
      <c r="E154" s="400">
        <f>20441794/1000000</f>
        <v>20.441794000000002</v>
      </c>
      <c r="F154" s="400">
        <f>'KTF Stand 8-25'!C8</f>
        <v>18.49314</v>
      </c>
      <c r="G154" s="400">
        <f>20745599/1000000</f>
        <v>20.745598999999999</v>
      </c>
      <c r="H154" s="463" t="s">
        <v>6</v>
      </c>
    </row>
    <row r="155" spans="3:18" x14ac:dyDescent="0.25">
      <c r="D155" s="370" t="s">
        <v>175</v>
      </c>
      <c r="E155" s="409">
        <f>29012560/1000000</f>
        <v>29.012560000000001</v>
      </c>
      <c r="F155" s="409">
        <f>E155</f>
        <v>29.012560000000001</v>
      </c>
      <c r="G155" s="409">
        <f>15957706/1000000</f>
        <v>15.957706</v>
      </c>
      <c r="H155" s="451"/>
    </row>
    <row r="156" spans="3:18" x14ac:dyDescent="0.25">
      <c r="D156" s="371" t="s">
        <v>71</v>
      </c>
      <c r="E156" s="400">
        <f>SUM(E154:E155)</f>
        <v>49.454354000000002</v>
      </c>
      <c r="F156" s="400">
        <f>SUM(F154:F155)</f>
        <v>47.505700000000004</v>
      </c>
      <c r="G156" s="400">
        <f>SUM(G154:G155)</f>
        <v>36.703305</v>
      </c>
      <c r="H156" s="451"/>
    </row>
    <row r="157" spans="3:18" x14ac:dyDescent="0.25">
      <c r="D157" s="372" t="s">
        <v>196</v>
      </c>
      <c r="E157" s="409">
        <f>F154-E154</f>
        <v>-1.9486540000000012</v>
      </c>
      <c r="F157" s="409"/>
      <c r="G157" s="409"/>
      <c r="H157" s="451"/>
    </row>
    <row r="158" spans="3:18" x14ac:dyDescent="0.25">
      <c r="D158" s="373" t="s">
        <v>209</v>
      </c>
      <c r="E158" s="417">
        <f>SUM(E156:E157)</f>
        <v>47.505700000000004</v>
      </c>
      <c r="F158" s="417"/>
      <c r="G158" s="417"/>
      <c r="H158" s="451"/>
    </row>
    <row r="159" spans="3:18" x14ac:dyDescent="0.25">
      <c r="D159" s="346"/>
      <c r="E159" s="405"/>
      <c r="F159" s="451"/>
      <c r="G159" s="452"/>
      <c r="H159" s="451"/>
    </row>
    <row r="160" spans="3:18" x14ac:dyDescent="0.25">
      <c r="D160" s="374" t="s">
        <v>192</v>
      </c>
      <c r="E160" s="400">
        <f>19284667/1000000</f>
        <v>19.284666999999999</v>
      </c>
      <c r="F160" s="400">
        <f>5267985/1000000</f>
        <v>5.2679850000000004</v>
      </c>
      <c r="G160" s="400">
        <f>10963456/1000000</f>
        <v>10.963456000000001</v>
      </c>
      <c r="H160" s="451"/>
    </row>
    <row r="161" spans="3:8" x14ac:dyDescent="0.25">
      <c r="D161" s="375" t="s">
        <v>167</v>
      </c>
      <c r="E161" s="404">
        <f>29852997/1000000</f>
        <v>29.852996999999998</v>
      </c>
      <c r="F161" s="404">
        <f>17767853/1000000</f>
        <v>17.767852999999999</v>
      </c>
      <c r="G161" s="404">
        <f>25671608/1000000</f>
        <v>25.671607999999999</v>
      </c>
      <c r="H161" s="451"/>
    </row>
    <row r="162" spans="3:8" x14ac:dyDescent="0.25">
      <c r="D162" s="376" t="s">
        <v>171</v>
      </c>
      <c r="E162" s="404">
        <f>316690/1000000</f>
        <v>0.31669000000000003</v>
      </c>
      <c r="F162" s="404">
        <f>5957706/1000000</f>
        <v>5.9577059999999999</v>
      </c>
      <c r="G162" s="404">
        <f>68241/1000000</f>
        <v>6.8240999999999996E-2</v>
      </c>
      <c r="H162" s="451"/>
    </row>
    <row r="163" spans="3:8" x14ac:dyDescent="0.25">
      <c r="D163" s="377" t="s">
        <v>193</v>
      </c>
      <c r="E163" s="400">
        <f>SUM(E160:E162)</f>
        <v>49.454354000000002</v>
      </c>
      <c r="F163" s="400">
        <f>SUM(F160:F162)</f>
        <v>28.993544</v>
      </c>
      <c r="G163" s="400">
        <f>SUM(G160:G162)</f>
        <v>36.703305</v>
      </c>
      <c r="H163" s="451"/>
    </row>
    <row r="164" spans="3:8" x14ac:dyDescent="0.25">
      <c r="D164" s="378" t="s">
        <v>201</v>
      </c>
      <c r="E164" s="456">
        <f>E172</f>
        <v>7.9</v>
      </c>
      <c r="F164" s="456"/>
      <c r="G164" s="409"/>
      <c r="H164" s="451"/>
    </row>
    <row r="165" spans="3:8" x14ac:dyDescent="0.25">
      <c r="D165" s="379" t="s">
        <v>205</v>
      </c>
      <c r="E165" s="417">
        <f>SUM(E163:E164)</f>
        <v>57.354354000000001</v>
      </c>
      <c r="F165" s="417"/>
      <c r="G165" s="417"/>
      <c r="H165" s="451"/>
    </row>
    <row r="166" spans="3:8" x14ac:dyDescent="0.25">
      <c r="D166" s="367"/>
      <c r="E166" s="405"/>
      <c r="F166" s="451"/>
      <c r="G166" s="452"/>
      <c r="H166" s="451"/>
    </row>
    <row r="167" spans="3:8" ht="30" x14ac:dyDescent="0.25">
      <c r="D167" s="373" t="s">
        <v>210</v>
      </c>
      <c r="E167" s="417">
        <f>E158-E165</f>
        <v>-9.8486539999999962</v>
      </c>
      <c r="F167" s="417"/>
      <c r="G167" s="417"/>
      <c r="H167" s="451"/>
    </row>
    <row r="169" spans="3:8" x14ac:dyDescent="0.25">
      <c r="C169" s="394" t="s">
        <v>189</v>
      </c>
      <c r="D169" s="344"/>
      <c r="E169" s="399">
        <v>2024</v>
      </c>
      <c r="F169" s="457"/>
    </row>
    <row r="170" spans="3:8" x14ac:dyDescent="0.25">
      <c r="C170" s="395" t="s">
        <v>187</v>
      </c>
      <c r="E170" s="458">
        <f>E147</f>
        <v>10.6</v>
      </c>
      <c r="F170" s="459"/>
    </row>
    <row r="171" spans="3:8" x14ac:dyDescent="0.25">
      <c r="C171" s="550" t="s">
        <v>188</v>
      </c>
      <c r="D171" s="551"/>
      <c r="E171" s="460">
        <v>18.5</v>
      </c>
      <c r="F171" s="390"/>
    </row>
    <row r="172" spans="3:8" x14ac:dyDescent="0.25">
      <c r="C172" s="394" t="s">
        <v>190</v>
      </c>
      <c r="D172" s="344"/>
      <c r="E172" s="461">
        <f>E171-E170</f>
        <v>7.9</v>
      </c>
      <c r="F172" s="459"/>
    </row>
    <row r="175" spans="3:8" x14ac:dyDescent="0.25">
      <c r="C175" s="542" t="s">
        <v>265</v>
      </c>
      <c r="D175" s="543"/>
    </row>
    <row r="176" spans="3:8" x14ac:dyDescent="0.25">
      <c r="C176" s="274">
        <f>'KTF Ausgaben Stand 8-25'!E163</f>
        <v>49.454354000000002</v>
      </c>
      <c r="D176" s="311" t="s">
        <v>206</v>
      </c>
    </row>
    <row r="177" spans="3:4" x14ac:dyDescent="0.25">
      <c r="C177" s="275">
        <f>'KTF Ausgaben Stand 8-25'!E27*-1</f>
        <v>-10.6</v>
      </c>
      <c r="D177" s="282" t="s">
        <v>207</v>
      </c>
    </row>
    <row r="178" spans="3:4" x14ac:dyDescent="0.25">
      <c r="C178" s="277">
        <f>SUM(C176:C177)</f>
        <v>38.854354000000001</v>
      </c>
      <c r="D178" s="281" t="s">
        <v>203</v>
      </c>
    </row>
    <row r="179" spans="3:4" x14ac:dyDescent="0.25">
      <c r="C179" s="273"/>
      <c r="D179" s="273"/>
    </row>
    <row r="180" spans="3:4" x14ac:dyDescent="0.25">
      <c r="C180" s="274">
        <f>'KTF Stand 8-25'!D13</f>
        <v>36.703305</v>
      </c>
      <c r="D180" s="280" t="s">
        <v>204</v>
      </c>
    </row>
    <row r="181" spans="3:4" x14ac:dyDescent="0.25">
      <c r="C181" s="278">
        <f>C180-C178</f>
        <v>-2.1510490000000004</v>
      </c>
      <c r="D181" s="272" t="s">
        <v>200</v>
      </c>
    </row>
    <row r="182" spans="3:4" x14ac:dyDescent="0.25">
      <c r="C182" s="279">
        <f>C180-'KTF Ausgaben Stand 8-25'!G21</f>
        <v>33.303305000000002</v>
      </c>
      <c r="D182" s="276" t="s">
        <v>199</v>
      </c>
    </row>
    <row r="183" spans="3:4" x14ac:dyDescent="0.25">
      <c r="C183" s="278">
        <f>C182-C178</f>
        <v>-5.551048999999999</v>
      </c>
      <c r="D183" s="272" t="s">
        <v>198</v>
      </c>
    </row>
    <row r="184" spans="3:4" x14ac:dyDescent="0.25">
      <c r="C184" s="273"/>
      <c r="D184" s="273"/>
    </row>
    <row r="185" spans="3:4" x14ac:dyDescent="0.25">
      <c r="C185" s="274">
        <f>'KTF 1. Entwurf BH25'!D12</f>
        <v>34.47</v>
      </c>
      <c r="D185" s="283" t="s">
        <v>208</v>
      </c>
    </row>
    <row r="186" spans="3:4" x14ac:dyDescent="0.25">
      <c r="C186" s="278">
        <f>C180-C185</f>
        <v>2.2333050000000014</v>
      </c>
      <c r="D186" s="272" t="s">
        <v>183</v>
      </c>
    </row>
    <row r="287" spans="9:9" x14ac:dyDescent="0.25">
      <c r="I287" s="451"/>
    </row>
    <row r="288" spans="9:9" x14ac:dyDescent="0.25">
      <c r="I288" s="451"/>
    </row>
    <row r="289" spans="9:10" x14ac:dyDescent="0.25">
      <c r="I289" s="451"/>
    </row>
    <row r="290" spans="9:10" x14ac:dyDescent="0.25">
      <c r="I290" s="451"/>
    </row>
    <row r="291" spans="9:10" ht="9" customHeight="1" x14ac:dyDescent="0.25">
      <c r="I291" s="451"/>
    </row>
    <row r="292" spans="9:10" x14ac:dyDescent="0.25">
      <c r="J292" s="462"/>
    </row>
    <row r="293" spans="9:10" x14ac:dyDescent="0.25">
      <c r="I293" s="451"/>
    </row>
    <row r="294" spans="9:10" x14ac:dyDescent="0.25">
      <c r="I294" s="451"/>
    </row>
    <row r="295" spans="9:10" x14ac:dyDescent="0.25">
      <c r="I295" s="451"/>
    </row>
    <row r="296" spans="9:10" x14ac:dyDescent="0.25">
      <c r="I296" s="451"/>
    </row>
    <row r="297" spans="9:10" ht="6.75" customHeight="1" x14ac:dyDescent="0.25">
      <c r="I297" s="451"/>
    </row>
    <row r="298" spans="9:10" x14ac:dyDescent="0.25">
      <c r="I298" s="451"/>
    </row>
    <row r="299" spans="9:10" x14ac:dyDescent="0.25">
      <c r="I299" s="451"/>
    </row>
    <row r="300" spans="9:10" x14ac:dyDescent="0.25">
      <c r="I300" s="451"/>
    </row>
    <row r="301" spans="9:10" x14ac:dyDescent="0.25">
      <c r="I301" s="451"/>
    </row>
    <row r="302" spans="9:10" x14ac:dyDescent="0.25">
      <c r="I302" s="451"/>
    </row>
    <row r="303" spans="9:10" x14ac:dyDescent="0.25">
      <c r="I303" s="451"/>
    </row>
    <row r="304" spans="9:10" ht="9" customHeight="1" x14ac:dyDescent="0.25">
      <c r="I304" s="451"/>
    </row>
    <row r="305" spans="9:10" x14ac:dyDescent="0.25">
      <c r="I305" s="451"/>
    </row>
    <row r="306" spans="9:10" x14ac:dyDescent="0.25">
      <c r="J306" s="430"/>
    </row>
  </sheetData>
  <sortState xmlns:xlrd2="http://schemas.microsoft.com/office/spreadsheetml/2017/richdata2" ref="D66:H73">
    <sortCondition descending="1" ref="G66:G73"/>
  </sortState>
  <mergeCells count="6">
    <mergeCell ref="C175:D175"/>
    <mergeCell ref="E78:F78"/>
    <mergeCell ref="B21:B39"/>
    <mergeCell ref="B41:B60"/>
    <mergeCell ref="B2:D2"/>
    <mergeCell ref="C171:D171"/>
  </mergeCells>
  <conditionalFormatting sqref="I21:I60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21:J60 J63">
    <cfRule type="colorScale" priority="1">
      <colorScale>
        <cfvo type="min"/>
        <cfvo type="max"/>
        <color rgb="FFFCFCFF"/>
        <color rgb="FF63BE7B"/>
      </colorScale>
    </cfRule>
  </conditionalFormatting>
  <conditionalFormatting sqref="K63">
    <cfRule type="colorScale" priority="4">
      <colorScale>
        <cfvo type="min"/>
        <cfvo type="max"/>
        <color rgb="FFFCFCFF"/>
        <color rgb="FF63BE7B"/>
      </colorScale>
    </cfRule>
  </conditionalFormatting>
  <conditionalFormatting sqref="K21:L21 K22:K60 L22:L63">
    <cfRule type="colorScale" priority="14">
      <colorScale>
        <cfvo type="min"/>
        <cfvo type="max"/>
        <color rgb="FFFCFCFF"/>
        <color rgb="FF63BE7B"/>
      </colorScale>
    </cfRule>
  </conditionalFormatting>
  <conditionalFormatting sqref="K21:L21 K63 K22:K60 L22:L63">
    <cfRule type="colorScale" priority="2">
      <colorScale>
        <cfvo type="min"/>
        <cfvo type="max"/>
        <color rgb="FFFCFCFF"/>
        <color rgb="FF63BE7B"/>
      </colorScale>
    </cfRule>
  </conditionalFormatting>
  <dataValidations count="1">
    <dataValidation type="list" allowBlank="1" showInputMessage="1" showErrorMessage="1" sqref="L21:L63" xr:uid="{5516ECAF-7BF7-499A-965F-EB028550BB9F}">
      <formula1>$D$66:$D$73</formula1>
    </dataValidation>
  </dataValidations>
  <hyperlinks>
    <hyperlink ref="D164" r:id="rId1" xr:uid="{F65AC892-AB31-4A2A-AB70-D2962007C860}"/>
    <hyperlink ref="C171:D171" r:id="rId2" display="Tatsächliche Kosten (Quellen differieren leicht)" xr:uid="{3E114DD0-0986-44A6-A4AC-C626470765F2}"/>
    <hyperlink ref="E78:F78" r:id="rId3" display="Download" xr:uid="{78B2EEB3-0A2C-445B-97B3-3878B83CBF84}"/>
    <hyperlink ref="G19" r:id="rId4" xr:uid="{640E634C-D019-4347-9089-7085FFE4B7A0}"/>
    <hyperlink ref="H19" r:id="rId5" xr:uid="{8402EB82-18C5-4505-91B9-FEEDC64E95F0}"/>
    <hyperlink ref="F19" r:id="rId6" xr:uid="{EAD2375A-2385-4ACB-94C4-C8DAF0E06EAC}"/>
  </hyperlinks>
  <pageMargins left="0.7" right="0.7" top="0.78740157499999996" bottom="0.78740157499999996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B2:O1007"/>
  <sheetViews>
    <sheetView tabSelected="1" zoomScale="120" zoomScaleNormal="120" workbookViewId="0">
      <selection activeCell="B2" sqref="B2:H2"/>
    </sheetView>
  </sheetViews>
  <sheetFormatPr baseColWidth="10" defaultColWidth="14.42578125" defaultRowHeight="15" customHeight="1" x14ac:dyDescent="0.25"/>
  <cols>
    <col min="1" max="1" width="4.85546875" customWidth="1"/>
    <col min="2" max="2" width="38" customWidth="1"/>
    <col min="3" max="3" width="6.5703125" customWidth="1"/>
    <col min="4" max="4" width="5.85546875" bestFit="1" customWidth="1"/>
    <col min="5" max="5" width="8" bestFit="1" customWidth="1"/>
    <col min="6" max="8" width="6.5703125" customWidth="1"/>
    <col min="9" max="9" width="5.42578125" customWidth="1"/>
    <col min="10" max="10" width="7" customWidth="1"/>
    <col min="11" max="11" width="17.5703125" customWidth="1"/>
    <col min="12" max="12" width="4.85546875" customWidth="1"/>
    <col min="13" max="13" width="38" bestFit="1" customWidth="1"/>
    <col min="14" max="14" width="8.85546875" bestFit="1" customWidth="1"/>
    <col min="15" max="30" width="10.7109375" customWidth="1"/>
  </cols>
  <sheetData>
    <row r="2" spans="2:15" x14ac:dyDescent="0.25">
      <c r="B2" s="506" t="s">
        <v>261</v>
      </c>
      <c r="C2" s="507"/>
      <c r="D2" s="507"/>
      <c r="E2" s="507"/>
      <c r="F2" s="507"/>
      <c r="G2" s="507"/>
      <c r="H2" s="508"/>
    </row>
    <row r="4" spans="2:15" ht="15" customHeight="1" x14ac:dyDescent="0.25">
      <c r="B4" s="333" t="s">
        <v>264</v>
      </c>
      <c r="C4" s="322" t="s">
        <v>0</v>
      </c>
      <c r="D4" s="501" t="s">
        <v>0</v>
      </c>
      <c r="E4" s="474" t="s">
        <v>2</v>
      </c>
      <c r="F4" s="469" t="s">
        <v>112</v>
      </c>
      <c r="G4" s="469" t="s">
        <v>112</v>
      </c>
      <c r="H4" s="470" t="s">
        <v>112</v>
      </c>
      <c r="I4" s="320"/>
      <c r="M4" s="520" t="s">
        <v>275</v>
      </c>
      <c r="N4" s="521"/>
    </row>
    <row r="5" spans="2:15" x14ac:dyDescent="0.25">
      <c r="B5" s="493" t="s">
        <v>65</v>
      </c>
      <c r="C5" s="312">
        <v>2024</v>
      </c>
      <c r="D5" s="328">
        <v>2025</v>
      </c>
      <c r="E5" s="327">
        <f>D5+1</f>
        <v>2026</v>
      </c>
      <c r="F5" s="327">
        <f t="shared" ref="F5:H5" si="0">E5+1</f>
        <v>2027</v>
      </c>
      <c r="G5" s="327">
        <f t="shared" si="0"/>
        <v>2028</v>
      </c>
      <c r="H5" s="328">
        <f t="shared" si="0"/>
        <v>2029</v>
      </c>
      <c r="I5" s="319"/>
      <c r="M5" s="241"/>
      <c r="N5" s="487" t="s">
        <v>4</v>
      </c>
    </row>
    <row r="6" spans="2:15" x14ac:dyDescent="0.25">
      <c r="B6" s="494" t="s">
        <v>105</v>
      </c>
      <c r="C6" s="323">
        <f>'KTF Stand 8-25'!C9</f>
        <v>5.5052979999999998</v>
      </c>
      <c r="D6" s="321">
        <v>5.4</v>
      </c>
      <c r="E6" s="219">
        <f>'KTF Stand 8-25'!E9</f>
        <v>4.2649999999999997</v>
      </c>
      <c r="F6" s="219">
        <f>'KTF Stand 8-25'!F9</f>
        <v>4.6399999999999997</v>
      </c>
      <c r="G6" s="219">
        <f>'KTF Stand 8-25'!G9</f>
        <v>7.4859999999999998</v>
      </c>
      <c r="H6" s="321">
        <f>'KTF Stand 8-25'!H9</f>
        <v>9.5280000000000005</v>
      </c>
      <c r="I6" s="219"/>
      <c r="J6" s="235"/>
      <c r="K6" s="235"/>
      <c r="M6" s="485" t="s">
        <v>276</v>
      </c>
      <c r="N6" s="486">
        <v>43</v>
      </c>
      <c r="O6" s="523" t="s">
        <v>66</v>
      </c>
    </row>
    <row r="7" spans="2:15" x14ac:dyDescent="0.25">
      <c r="B7" s="495" t="s">
        <v>106</v>
      </c>
      <c r="C7" s="323">
        <f>'KTF Stand 8-25'!C10</f>
        <v>12.987842000000001</v>
      </c>
      <c r="D7" s="321">
        <v>16</v>
      </c>
      <c r="E7" s="219">
        <f>'KTF Stand 8-25'!E10</f>
        <v>16.713425999999998</v>
      </c>
      <c r="F7" s="219">
        <f>'KTF Stand 8-25'!F10</f>
        <v>21.254535000000001</v>
      </c>
      <c r="G7" s="219">
        <f>'KTF Stand 8-25'!G10</f>
        <v>20.151845000000002</v>
      </c>
      <c r="H7" s="321">
        <f>'KTF Stand 8-25'!H10</f>
        <v>18.153130000000001</v>
      </c>
      <c r="I7" s="219"/>
      <c r="J7" s="235"/>
      <c r="K7" s="235"/>
      <c r="M7" s="485" t="s">
        <v>277</v>
      </c>
      <c r="N7" s="488">
        <v>24</v>
      </c>
      <c r="O7" s="523"/>
    </row>
    <row r="8" spans="2:15" x14ac:dyDescent="0.25">
      <c r="B8" s="613" t="s">
        <v>289</v>
      </c>
      <c r="C8" s="324">
        <f>SUM(C6:C7)</f>
        <v>18.49314</v>
      </c>
      <c r="D8" s="326">
        <f>SUM(D6:D7)</f>
        <v>21.4</v>
      </c>
      <c r="E8" s="325">
        <f t="shared" ref="E8:G8" si="1">SUM(E6:E7)</f>
        <v>20.978425999999999</v>
      </c>
      <c r="F8" s="325">
        <f t="shared" si="1"/>
        <v>25.894535000000001</v>
      </c>
      <c r="G8" s="325">
        <f t="shared" si="1"/>
        <v>27.637845000000002</v>
      </c>
      <c r="H8" s="326">
        <f t="shared" ref="H8" si="2">SUM(H6:H7)</f>
        <v>27.681130000000003</v>
      </c>
      <c r="I8" s="72"/>
      <c r="J8" s="235"/>
      <c r="K8" s="235"/>
      <c r="M8" s="485" t="s">
        <v>278</v>
      </c>
      <c r="N8" s="488">
        <f>D6</f>
        <v>5.4</v>
      </c>
    </row>
    <row r="9" spans="2:15" x14ac:dyDescent="0.25">
      <c r="B9" s="496" t="s">
        <v>282</v>
      </c>
      <c r="C9" s="93"/>
      <c r="D9" s="502">
        <f>N11</f>
        <v>4.2750000000000004</v>
      </c>
      <c r="E9" s="72"/>
      <c r="F9" s="72"/>
      <c r="G9" s="72"/>
      <c r="H9" s="94"/>
      <c r="I9" s="44"/>
      <c r="M9" s="485" t="s">
        <v>279</v>
      </c>
      <c r="N9" s="489">
        <f>N8/N7</f>
        <v>0.22500000000000001</v>
      </c>
    </row>
    <row r="10" spans="2:15" x14ac:dyDescent="0.25">
      <c r="B10" s="497" t="s">
        <v>283</v>
      </c>
      <c r="C10" s="324"/>
      <c r="D10" s="326">
        <f>SUM(D8:D9)</f>
        <v>25.674999999999997</v>
      </c>
      <c r="E10" s="325"/>
      <c r="F10" s="325"/>
      <c r="G10" s="325"/>
      <c r="H10" s="326"/>
      <c r="M10" s="485" t="s">
        <v>280</v>
      </c>
      <c r="N10" s="488">
        <f>N6-N7</f>
        <v>19</v>
      </c>
    </row>
    <row r="11" spans="2:15" x14ac:dyDescent="0.25">
      <c r="B11" s="491"/>
      <c r="C11" s="72"/>
      <c r="D11" s="72"/>
      <c r="E11" s="72"/>
      <c r="F11" s="72"/>
      <c r="G11" s="72"/>
      <c r="H11" s="72"/>
      <c r="M11" s="490" t="s">
        <v>281</v>
      </c>
      <c r="N11" s="492">
        <f>N10*N9</f>
        <v>4.2750000000000004</v>
      </c>
    </row>
    <row r="12" spans="2:15" x14ac:dyDescent="0.25">
      <c r="B12" s="78" t="s">
        <v>104</v>
      </c>
      <c r="C12" s="511">
        <v>83.5</v>
      </c>
      <c r="D12" s="512"/>
      <c r="E12" s="512"/>
      <c r="F12" s="512"/>
      <c r="G12" s="512"/>
      <c r="H12" s="513"/>
      <c r="I12" s="219"/>
      <c r="J12" s="509" t="s">
        <v>66</v>
      </c>
      <c r="K12" s="510"/>
    </row>
    <row r="13" spans="2:15" x14ac:dyDescent="0.25">
      <c r="B13" s="329"/>
      <c r="C13" s="219"/>
      <c r="D13" s="219"/>
      <c r="E13" s="219"/>
      <c r="F13" s="219"/>
      <c r="G13" s="219"/>
      <c r="H13" s="219"/>
      <c r="I13" s="219"/>
      <c r="J13" s="500"/>
      <c r="K13" s="500"/>
    </row>
    <row r="14" spans="2:15" x14ac:dyDescent="0.25">
      <c r="B14" s="493" t="s">
        <v>65</v>
      </c>
      <c r="C14" s="312">
        <v>2024</v>
      </c>
      <c r="D14" s="484">
        <v>2025</v>
      </c>
      <c r="E14" s="483">
        <f>D14+1</f>
        <v>2026</v>
      </c>
      <c r="F14" s="483">
        <f t="shared" ref="F14:H14" si="3">E14+1</f>
        <v>2027</v>
      </c>
      <c r="G14" s="483">
        <f t="shared" si="3"/>
        <v>2028</v>
      </c>
      <c r="H14" s="484">
        <f t="shared" si="3"/>
        <v>2029</v>
      </c>
      <c r="I14" s="517" t="s">
        <v>288</v>
      </c>
      <c r="J14" s="518"/>
      <c r="K14" s="519"/>
    </row>
    <row r="15" spans="2:15" x14ac:dyDescent="0.25">
      <c r="B15" s="522" t="s">
        <v>107</v>
      </c>
      <c r="C15" s="480">
        <f>C7/$C$12*1000</f>
        <v>155.54301796407185</v>
      </c>
      <c r="D15" s="482">
        <f t="shared" ref="D15:H16" si="4">D7/$C$12*1000</f>
        <v>191.61676646706587</v>
      </c>
      <c r="E15" s="481">
        <f t="shared" si="4"/>
        <v>200.16079041916166</v>
      </c>
      <c r="F15" s="481">
        <f t="shared" si="4"/>
        <v>254.54532934131734</v>
      </c>
      <c r="G15" s="481">
        <f t="shared" si="4"/>
        <v>241.33946107784431</v>
      </c>
      <c r="H15" s="482">
        <f t="shared" si="4"/>
        <v>217.40275449101799</v>
      </c>
      <c r="I15" s="514" t="s">
        <v>113</v>
      </c>
      <c r="J15" s="515"/>
      <c r="K15" s="516"/>
    </row>
    <row r="16" spans="2:15" ht="15" customHeight="1" x14ac:dyDescent="0.25">
      <c r="B16" s="522"/>
      <c r="C16" s="480">
        <f>C8/$C$12*1000</f>
        <v>221.47473053892216</v>
      </c>
      <c r="D16" s="482">
        <f t="shared" si="4"/>
        <v>256.2874251497006</v>
      </c>
      <c r="E16" s="481">
        <f t="shared" si="4"/>
        <v>251.23863473053893</v>
      </c>
      <c r="F16" s="481">
        <f t="shared" si="4"/>
        <v>310.11419161676645</v>
      </c>
      <c r="G16" s="481">
        <f t="shared" si="4"/>
        <v>330.9921556886228</v>
      </c>
      <c r="H16" s="482">
        <f t="shared" si="4"/>
        <v>331.51053892215572</v>
      </c>
      <c r="I16" s="514" t="s">
        <v>284</v>
      </c>
      <c r="J16" s="515"/>
      <c r="K16" s="516"/>
    </row>
    <row r="17" spans="2:11" ht="15" customHeight="1" x14ac:dyDescent="0.25">
      <c r="B17" s="522"/>
      <c r="C17" s="480"/>
      <c r="D17" s="482">
        <f t="shared" ref="D17" si="5">D10/$C$12*1000</f>
        <v>307.48502994011972</v>
      </c>
      <c r="E17" s="481"/>
      <c r="F17" s="481"/>
      <c r="G17" s="481"/>
      <c r="H17" s="482"/>
      <c r="I17" s="514" t="s">
        <v>287</v>
      </c>
      <c r="J17" s="515"/>
      <c r="K17" s="516"/>
    </row>
    <row r="18" spans="2:11" ht="15" customHeight="1" x14ac:dyDescent="0.25">
      <c r="B18" s="47"/>
      <c r="C18" s="48"/>
      <c r="D18" s="47"/>
      <c r="E18" s="47"/>
      <c r="F18" s="47"/>
      <c r="G18" s="47"/>
      <c r="H18" s="47"/>
    </row>
    <row r="19" spans="2:11" ht="15" customHeight="1" x14ac:dyDescent="0.25">
      <c r="B19" s="517" t="s">
        <v>75</v>
      </c>
      <c r="C19" s="518"/>
      <c r="D19" s="518"/>
      <c r="E19" s="518"/>
      <c r="F19" s="518"/>
      <c r="G19" s="518"/>
      <c r="H19" s="519"/>
    </row>
    <row r="20" spans="2:11" ht="15" customHeight="1" x14ac:dyDescent="0.25">
      <c r="B20" s="527" t="s">
        <v>76</v>
      </c>
      <c r="C20" s="528"/>
      <c r="D20" s="528"/>
      <c r="E20" s="528"/>
      <c r="F20" s="528"/>
      <c r="G20" s="528"/>
      <c r="H20" s="529"/>
    </row>
    <row r="22" spans="2:11" ht="15" customHeight="1" x14ac:dyDescent="0.25">
      <c r="B22" s="524" t="s">
        <v>262</v>
      </c>
      <c r="C22" s="525"/>
      <c r="D22" s="525"/>
      <c r="E22" s="525"/>
      <c r="F22" s="525"/>
      <c r="G22" s="525"/>
      <c r="H22" s="526"/>
    </row>
    <row r="23" spans="2:11" ht="15" customHeight="1" x14ac:dyDescent="0.25">
      <c r="B23" s="503" t="s">
        <v>263</v>
      </c>
      <c r="C23" s="504"/>
      <c r="D23" s="504"/>
      <c r="E23" s="504"/>
      <c r="F23" s="504"/>
      <c r="G23" s="504"/>
      <c r="H23" s="505"/>
      <c r="I23" s="47"/>
    </row>
    <row r="31" spans="2:11" ht="15.75" customHeight="1" x14ac:dyDescent="0.25"/>
    <row r="32" spans="2:11" ht="15.75" customHeight="1" x14ac:dyDescent="0.25"/>
    <row r="33" spans="2:11" ht="15.75" customHeight="1" x14ac:dyDescent="0.25">
      <c r="B33" s="47"/>
      <c r="C33" s="59"/>
      <c r="D33" s="47"/>
      <c r="E33" s="47"/>
      <c r="F33" s="47"/>
      <c r="G33" s="47"/>
      <c r="H33" s="47"/>
    </row>
    <row r="34" spans="2:11" ht="15" customHeight="1" x14ac:dyDescent="0.25">
      <c r="B34" s="38"/>
      <c r="C34" s="44"/>
      <c r="D34" s="44"/>
      <c r="E34" s="44"/>
      <c r="F34" s="44"/>
    </row>
    <row r="35" spans="2:11" ht="15.75" customHeight="1" x14ac:dyDescent="0.25">
      <c r="B35" s="38"/>
      <c r="C35" s="44"/>
      <c r="D35" s="44"/>
      <c r="E35" s="44"/>
      <c r="F35" s="44"/>
      <c r="K35" s="41"/>
    </row>
    <row r="36" spans="2:11" ht="15.75" hidden="1" customHeight="1" x14ac:dyDescent="0.25"/>
    <row r="37" spans="2:11" ht="15.75" hidden="1" customHeight="1" x14ac:dyDescent="0.25"/>
    <row r="38" spans="2:11" ht="15.75" hidden="1" customHeight="1" x14ac:dyDescent="0.25"/>
    <row r="39" spans="2:11" ht="15.75" hidden="1" customHeight="1" x14ac:dyDescent="0.25"/>
    <row r="40" spans="2:11" ht="15.75" customHeight="1" x14ac:dyDescent="0.25"/>
    <row r="41" spans="2:11" ht="15.75" customHeight="1" x14ac:dyDescent="0.25"/>
    <row r="42" spans="2:11" ht="15.75" customHeight="1" x14ac:dyDescent="0.25"/>
    <row r="43" spans="2:11" ht="15.75" customHeight="1" x14ac:dyDescent="0.25"/>
    <row r="44" spans="2:11" ht="15.75" customHeight="1" x14ac:dyDescent="0.25"/>
    <row r="45" spans="2:11" ht="15.75" customHeight="1" x14ac:dyDescent="0.25"/>
    <row r="46" spans="2:11" ht="15.75" customHeight="1" x14ac:dyDescent="0.25"/>
    <row r="47" spans="2:11" ht="15.75" customHeight="1" x14ac:dyDescent="0.25"/>
    <row r="48" spans="2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14">
    <mergeCell ref="M4:N4"/>
    <mergeCell ref="I17:K17"/>
    <mergeCell ref="B15:B17"/>
    <mergeCell ref="O6:O7"/>
    <mergeCell ref="B22:H22"/>
    <mergeCell ref="B19:H19"/>
    <mergeCell ref="B20:H20"/>
    <mergeCell ref="B23:H23"/>
    <mergeCell ref="B2:H2"/>
    <mergeCell ref="J12:K12"/>
    <mergeCell ref="C12:H12"/>
    <mergeCell ref="I16:K16"/>
    <mergeCell ref="I15:K15"/>
    <mergeCell ref="I14:K14"/>
  </mergeCells>
  <hyperlinks>
    <hyperlink ref="J12" r:id="rId1" xr:uid="{00000000-0004-0000-0600-000000000000}"/>
    <hyperlink ref="B20" r:id="rId2" xr:uid="{F16C1EE1-EBE6-49A4-9602-A9FA1F35A4F8}"/>
    <hyperlink ref="B23" r:id="rId3" xr:uid="{CC87624A-962C-4A9C-AE7A-4A955A89CFF5}"/>
    <hyperlink ref="O6:O7" r:id="rId4" display="Quelle" xr:uid="{3427936B-8E4E-4ABA-AE51-11B0E71EE121}"/>
  </hyperlinks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2199-6452-4D38-8F74-B3FD5D8A35B5}">
  <sheetPr>
    <tabColor theme="5" tint="0.79998168889431442"/>
  </sheetPr>
  <dimension ref="B2:J24"/>
  <sheetViews>
    <sheetView zoomScale="145" zoomScaleNormal="145" workbookViewId="0">
      <selection activeCell="B2" sqref="B2:D2"/>
    </sheetView>
  </sheetViews>
  <sheetFormatPr baseColWidth="10" defaultRowHeight="15" x14ac:dyDescent="0.25"/>
  <cols>
    <col min="1" max="1" width="4.42578125" customWidth="1"/>
    <col min="2" max="2" width="44" customWidth="1"/>
    <col min="5" max="5" width="4.140625" customWidth="1"/>
  </cols>
  <sheetData>
    <row r="2" spans="2:10" x14ac:dyDescent="0.25">
      <c r="B2" s="506" t="s">
        <v>81</v>
      </c>
      <c r="C2" s="507"/>
      <c r="D2" s="508"/>
    </row>
    <row r="4" spans="2:10" x14ac:dyDescent="0.25">
      <c r="B4" s="45" t="s">
        <v>65</v>
      </c>
      <c r="C4" s="558">
        <v>2024</v>
      </c>
      <c r="D4" s="557"/>
    </row>
    <row r="5" spans="2:10" x14ac:dyDescent="0.25">
      <c r="B5" s="43" t="s">
        <v>28</v>
      </c>
      <c r="C5" s="335">
        <f>'KTF Ausgaben Stand 8-25'!E171</f>
        <v>18.5</v>
      </c>
      <c r="D5" s="336" t="s">
        <v>4</v>
      </c>
      <c r="F5" s="60"/>
    </row>
    <row r="6" spans="2:10" x14ac:dyDescent="0.25">
      <c r="B6" s="337" t="s">
        <v>268</v>
      </c>
      <c r="C6" s="338">
        <f>'KTF Stand 8-25'!C8</f>
        <v>18.49314</v>
      </c>
      <c r="D6" s="339" t="s">
        <v>4</v>
      </c>
      <c r="F6" s="60"/>
    </row>
    <row r="7" spans="2:10" ht="15" customHeight="1" x14ac:dyDescent="0.25"/>
    <row r="8" spans="2:10" x14ac:dyDescent="0.25">
      <c r="B8" s="45" t="s">
        <v>65</v>
      </c>
      <c r="C8" s="558">
        <v>2022</v>
      </c>
      <c r="D8" s="557"/>
      <c r="G8" s="20"/>
    </row>
    <row r="9" spans="2:10" x14ac:dyDescent="0.25">
      <c r="B9" s="49" t="s">
        <v>67</v>
      </c>
      <c r="C9" s="50">
        <f>227204544/1000000</f>
        <v>227.204544</v>
      </c>
      <c r="D9" s="51" t="s">
        <v>4</v>
      </c>
    </row>
    <row r="10" spans="2:10" x14ac:dyDescent="0.25">
      <c r="B10" s="49" t="s">
        <v>68</v>
      </c>
      <c r="C10" s="52">
        <f>76973016/1000000</f>
        <v>76.973016000000001</v>
      </c>
      <c r="D10" s="51" t="s">
        <v>4</v>
      </c>
    </row>
    <row r="11" spans="2:10" x14ac:dyDescent="0.25">
      <c r="B11" s="49" t="s">
        <v>69</v>
      </c>
      <c r="C11" s="52">
        <f>39161295/1000000</f>
        <v>39.161295000000003</v>
      </c>
      <c r="D11" s="51" t="s">
        <v>4</v>
      </c>
    </row>
    <row r="12" spans="2:10" x14ac:dyDescent="0.25">
      <c r="B12" s="49" t="s">
        <v>70</v>
      </c>
      <c r="C12" s="52">
        <f>46333813/1000000</f>
        <v>46.333812999999999</v>
      </c>
      <c r="D12" s="51" t="s">
        <v>4</v>
      </c>
    </row>
    <row r="13" spans="2:10" x14ac:dyDescent="0.25">
      <c r="B13" s="45" t="s">
        <v>71</v>
      </c>
      <c r="C13" s="53">
        <f>SUM(C9:C12)</f>
        <v>389.67266799999999</v>
      </c>
      <c r="D13" s="46" t="s">
        <v>4</v>
      </c>
      <c r="E13" s="47"/>
      <c r="F13" s="499" t="s">
        <v>66</v>
      </c>
    </row>
    <row r="14" spans="2:10" ht="8.25" customHeight="1" x14ac:dyDescent="0.25"/>
    <row r="15" spans="2:10" x14ac:dyDescent="0.25">
      <c r="B15" s="54" t="s">
        <v>72</v>
      </c>
      <c r="C15" s="55">
        <f>C5/C13</f>
        <v>4.7475744436866689E-2</v>
      </c>
      <c r="D15" s="56"/>
      <c r="E15" s="47"/>
      <c r="F15" s="555" t="s">
        <v>285</v>
      </c>
      <c r="G15" s="556"/>
      <c r="H15" s="556"/>
      <c r="I15" s="556"/>
      <c r="J15" s="557"/>
    </row>
    <row r="16" spans="2:10" x14ac:dyDescent="0.25">
      <c r="B16" s="57" t="s">
        <v>73</v>
      </c>
      <c r="C16" s="58">
        <v>0.25</v>
      </c>
      <c r="D16" s="56"/>
      <c r="E16" s="47"/>
    </row>
    <row r="17" spans="2:5" x14ac:dyDescent="0.25">
      <c r="B17" s="57" t="s">
        <v>74</v>
      </c>
      <c r="C17" s="58">
        <f>(C16*100+(C16*100*C15))/100</f>
        <v>0.26186893610921669</v>
      </c>
      <c r="D17" s="56"/>
      <c r="E17" s="47"/>
    </row>
    <row r="18" spans="2:5" ht="15.75" customHeight="1" x14ac:dyDescent="0.25">
      <c r="B18" s="47"/>
      <c r="C18" s="59"/>
      <c r="D18" s="47"/>
      <c r="E18" s="47"/>
    </row>
    <row r="19" spans="2:5" x14ac:dyDescent="0.25">
      <c r="B19" s="559" t="s">
        <v>267</v>
      </c>
      <c r="C19" s="560"/>
      <c r="D19" s="561"/>
    </row>
    <row r="20" spans="2:5" x14ac:dyDescent="0.25">
      <c r="B20" s="562"/>
      <c r="C20" s="563"/>
      <c r="D20" s="564"/>
    </row>
    <row r="21" spans="2:5" x14ac:dyDescent="0.25">
      <c r="B21" s="562"/>
      <c r="C21" s="563"/>
      <c r="D21" s="564"/>
    </row>
    <row r="22" spans="2:5" x14ac:dyDescent="0.25">
      <c r="B22" s="565"/>
      <c r="C22" s="566"/>
      <c r="D22" s="567"/>
    </row>
    <row r="24" spans="2:5" x14ac:dyDescent="0.25">
      <c r="B24" s="552" t="s">
        <v>286</v>
      </c>
      <c r="C24" s="553"/>
      <c r="D24" s="554"/>
    </row>
  </sheetData>
  <mergeCells count="6">
    <mergeCell ref="B24:D24"/>
    <mergeCell ref="F15:J15"/>
    <mergeCell ref="C4:D4"/>
    <mergeCell ref="C8:D8"/>
    <mergeCell ref="B2:D2"/>
    <mergeCell ref="B19:D22"/>
  </mergeCells>
  <hyperlinks>
    <hyperlink ref="F13" r:id="rId1" xr:uid="{00000000-0004-0000-0600-000002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1:H27"/>
  <sheetViews>
    <sheetView zoomScale="140" zoomScaleNormal="140" workbookViewId="0">
      <selection activeCell="C26" sqref="C26"/>
    </sheetView>
  </sheetViews>
  <sheetFormatPr baseColWidth="10" defaultColWidth="14.42578125" defaultRowHeight="15" customHeight="1" x14ac:dyDescent="0.25"/>
  <cols>
    <col min="1" max="1" width="1.140625" customWidth="1"/>
    <col min="2" max="2" width="46" bestFit="1" customWidth="1"/>
    <col min="3" max="3" width="7.7109375" customWidth="1"/>
    <col min="4" max="4" width="7.42578125" customWidth="1"/>
    <col min="5" max="5" width="7" customWidth="1"/>
    <col min="6" max="7" width="7.140625" customWidth="1"/>
    <col min="8" max="8" width="12" customWidth="1"/>
  </cols>
  <sheetData>
    <row r="1" spans="2:8" ht="9" customHeight="1" x14ac:dyDescent="0.25"/>
    <row r="2" spans="2:8" ht="15" customHeight="1" x14ac:dyDescent="0.25">
      <c r="B2" s="576" t="s">
        <v>116</v>
      </c>
      <c r="C2" s="577"/>
      <c r="D2" s="577"/>
      <c r="E2" s="577"/>
      <c r="F2" s="577"/>
      <c r="G2" s="578"/>
    </row>
    <row r="3" spans="2:8" ht="9" customHeight="1" x14ac:dyDescent="0.25">
      <c r="D3" s="10"/>
      <c r="E3" s="10"/>
      <c r="F3" s="10"/>
    </row>
    <row r="4" spans="2:8" ht="16.5" customHeight="1" x14ac:dyDescent="0.25">
      <c r="B4" s="132" t="s">
        <v>100</v>
      </c>
      <c r="C4" s="570" t="s">
        <v>101</v>
      </c>
      <c r="D4" s="571"/>
      <c r="E4" s="572" t="s">
        <v>114</v>
      </c>
      <c r="F4" s="573"/>
      <c r="G4" s="573"/>
      <c r="H4" s="231">
        <v>45666</v>
      </c>
    </row>
    <row r="5" spans="2:8" x14ac:dyDescent="0.25">
      <c r="B5" s="568" t="s">
        <v>4</v>
      </c>
      <c r="C5" s="31" t="s">
        <v>1</v>
      </c>
      <c r="D5" s="32" t="s">
        <v>2</v>
      </c>
      <c r="E5" s="574" t="s">
        <v>3</v>
      </c>
      <c r="F5" s="575"/>
      <c r="G5" s="575"/>
      <c r="H5" s="228" t="s">
        <v>0</v>
      </c>
    </row>
    <row r="6" spans="2:8" x14ac:dyDescent="0.25">
      <c r="B6" s="569"/>
      <c r="C6" s="3">
        <v>2024</v>
      </c>
      <c r="D6" s="27">
        <f t="shared" ref="D6:E6" si="0">C6+1</f>
        <v>2025</v>
      </c>
      <c r="E6" s="113">
        <f t="shared" si="0"/>
        <v>2026</v>
      </c>
      <c r="F6" s="145">
        <f>E6+1</f>
        <v>2027</v>
      </c>
      <c r="G6" s="145">
        <f>F6+1</f>
        <v>2028</v>
      </c>
      <c r="H6" s="230">
        <v>2024</v>
      </c>
    </row>
    <row r="7" spans="2:8" x14ac:dyDescent="0.25">
      <c r="B7" s="66" t="s">
        <v>5</v>
      </c>
      <c r="C7" s="119">
        <f t="shared" ref="C7:E7" si="1">SUM(C9:C11)</f>
        <v>29.211000000000002</v>
      </c>
      <c r="D7" s="120">
        <f t="shared" si="1"/>
        <v>22.15</v>
      </c>
      <c r="E7" s="125">
        <f t="shared" si="1"/>
        <v>23.933920000000001</v>
      </c>
      <c r="F7" s="148">
        <f>SUM(F9:F11)</f>
        <v>27.574249000000002</v>
      </c>
      <c r="G7" s="148">
        <f>SUM(G9:G11)</f>
        <v>29.614936999999998</v>
      </c>
      <c r="H7" s="234"/>
    </row>
    <row r="8" spans="2:8" x14ac:dyDescent="0.25">
      <c r="B8" s="4" t="s">
        <v>6</v>
      </c>
      <c r="C8" s="121">
        <f t="shared" ref="C8:E8" si="2">SUM(C9:C10)</f>
        <v>18.836000000000002</v>
      </c>
      <c r="D8" s="122">
        <f t="shared" si="2"/>
        <v>22.15</v>
      </c>
      <c r="E8" s="152">
        <f t="shared" si="2"/>
        <v>23.933920000000001</v>
      </c>
      <c r="F8" s="153">
        <f>SUM(F9:F10)</f>
        <v>27.574249000000002</v>
      </c>
      <c r="G8" s="153">
        <f>SUM(G9:G10)</f>
        <v>29.614936999999998</v>
      </c>
      <c r="H8" s="226">
        <f t="shared" ref="H8" si="3">SUM(H9:H10)</f>
        <v>18.5</v>
      </c>
    </row>
    <row r="9" spans="2:8" x14ac:dyDescent="0.25">
      <c r="B9" s="5" t="s">
        <v>7</v>
      </c>
      <c r="C9" s="117">
        <v>6.5810000000000004</v>
      </c>
      <c r="D9" s="118">
        <v>6.74</v>
      </c>
      <c r="E9" s="155">
        <v>6.4849199999999998</v>
      </c>
      <c r="F9" s="146">
        <v>7.663278</v>
      </c>
      <c r="G9" s="146">
        <v>10.884048999999999</v>
      </c>
      <c r="H9" s="229">
        <v>5.5</v>
      </c>
    </row>
    <row r="10" spans="2:8" x14ac:dyDescent="0.25">
      <c r="B10" s="5" t="s">
        <v>8</v>
      </c>
      <c r="C10" s="117">
        <v>12.255000000000001</v>
      </c>
      <c r="D10" s="118">
        <v>15.41</v>
      </c>
      <c r="E10" s="155">
        <v>17.449000000000002</v>
      </c>
      <c r="F10" s="146">
        <v>19.910971</v>
      </c>
      <c r="G10" s="146">
        <v>18.730888</v>
      </c>
      <c r="H10" s="229">
        <v>13</v>
      </c>
    </row>
    <row r="11" spans="2:8" x14ac:dyDescent="0.25">
      <c r="B11" s="4" t="s">
        <v>9</v>
      </c>
      <c r="C11" s="123">
        <v>10.375</v>
      </c>
      <c r="D11" s="124">
        <v>0</v>
      </c>
      <c r="E11" s="156">
        <v>0</v>
      </c>
      <c r="F11" s="157">
        <v>0</v>
      </c>
      <c r="G11" s="157">
        <v>0</v>
      </c>
      <c r="H11" s="232"/>
    </row>
    <row r="12" spans="2:8" x14ac:dyDescent="0.25">
      <c r="B12" s="66" t="s">
        <v>111</v>
      </c>
      <c r="C12" s="135">
        <v>57.906663999999999</v>
      </c>
      <c r="D12" s="131">
        <f>7.545+26.925</f>
        <v>34.47</v>
      </c>
      <c r="E12" s="150">
        <v>33.936869999999999</v>
      </c>
      <c r="F12" s="151">
        <v>30.174249</v>
      </c>
      <c r="G12" s="151">
        <v>31.814937</v>
      </c>
      <c r="H12" s="233"/>
    </row>
    <row r="13" spans="2:8" x14ac:dyDescent="0.25">
      <c r="B13" s="43" t="s">
        <v>102</v>
      </c>
      <c r="C13" s="218">
        <f>29.013</f>
        <v>29.013000000000002</v>
      </c>
      <c r="D13" s="126">
        <f>C18</f>
        <v>0.3173360000000045</v>
      </c>
      <c r="E13" s="136">
        <f t="shared" ref="E13" si="4">D18</f>
        <v>-2.6639999999957809E-3</v>
      </c>
      <c r="F13" s="136">
        <f>E18</f>
        <v>-1.0056139999999942</v>
      </c>
      <c r="G13" s="137">
        <f>F18</f>
        <v>-1.0056139999999925</v>
      </c>
    </row>
    <row r="14" spans="2:8" x14ac:dyDescent="0.25">
      <c r="B14" s="23" t="s">
        <v>13</v>
      </c>
      <c r="C14" s="138">
        <f>C7-C12</f>
        <v>-28.695663999999997</v>
      </c>
      <c r="D14" s="127">
        <f>D7-D12</f>
        <v>-12.32</v>
      </c>
      <c r="E14" s="134">
        <f>E7-E12</f>
        <v>-10.002949999999998</v>
      </c>
      <c r="F14" s="134">
        <f>F7-F12</f>
        <v>-2.5999999999999979</v>
      </c>
      <c r="G14" s="139">
        <f>G7-G12</f>
        <v>-2.2000000000000028</v>
      </c>
    </row>
    <row r="15" spans="2:8" x14ac:dyDescent="0.25">
      <c r="B15" s="114" t="s">
        <v>63</v>
      </c>
      <c r="C15" s="140"/>
      <c r="D15" s="128">
        <v>9</v>
      </c>
      <c r="E15" s="133">
        <v>9</v>
      </c>
      <c r="F15" s="133">
        <v>9</v>
      </c>
      <c r="G15" s="141">
        <v>9</v>
      </c>
    </row>
    <row r="16" spans="2:8" x14ac:dyDescent="0.25">
      <c r="B16" s="114" t="s">
        <v>14</v>
      </c>
      <c r="C16" s="140"/>
      <c r="D16" s="128">
        <v>3</v>
      </c>
      <c r="E16" s="133"/>
      <c r="F16" s="133"/>
      <c r="G16" s="141"/>
    </row>
    <row r="17" spans="2:8" x14ac:dyDescent="0.25">
      <c r="B17" s="115" t="s">
        <v>99</v>
      </c>
      <c r="C17" s="142"/>
      <c r="D17" s="129"/>
      <c r="E17" s="143"/>
      <c r="F17" s="143">
        <v>-6.4</v>
      </c>
      <c r="G17" s="144">
        <v>-6.8</v>
      </c>
    </row>
    <row r="18" spans="2:8" x14ac:dyDescent="0.25">
      <c r="B18" s="61" t="s">
        <v>82</v>
      </c>
      <c r="C18" s="130">
        <f>SUM(C13:C17)</f>
        <v>0.3173360000000045</v>
      </c>
      <c r="D18" s="130">
        <f t="shared" ref="D18:G18" si="5">SUM(D13:D17)</f>
        <v>-2.6639999999957809E-3</v>
      </c>
      <c r="E18" s="147">
        <f t="shared" si="5"/>
        <v>-1.0056139999999942</v>
      </c>
      <c r="F18" s="147">
        <f t="shared" si="5"/>
        <v>-1.0056139999999925</v>
      </c>
      <c r="G18" s="130">
        <f t="shared" si="5"/>
        <v>-1.0056139999999951</v>
      </c>
    </row>
    <row r="19" spans="2:8" ht="7.5" customHeight="1" x14ac:dyDescent="0.25">
      <c r="B19" s="220"/>
      <c r="C19" s="221"/>
      <c r="D19" s="221"/>
      <c r="E19" s="221"/>
      <c r="F19" s="221"/>
      <c r="G19" s="221"/>
    </row>
    <row r="20" spans="2:8" x14ac:dyDescent="0.25">
      <c r="B20" s="225" t="s">
        <v>108</v>
      </c>
      <c r="C20" s="226">
        <f>C12-'KTF Ausg 1. Entwurf BH25'!D6</f>
        <v>38.506664000000001</v>
      </c>
      <c r="D20" s="154">
        <f>D12-D15-D16</f>
        <v>22.47</v>
      </c>
      <c r="E20" s="153">
        <f t="shared" ref="E20:G20" si="6">E12-E15-E16</f>
        <v>24.936869999999999</v>
      </c>
      <c r="F20" s="153">
        <f t="shared" si="6"/>
        <v>21.174249</v>
      </c>
      <c r="G20" s="154">
        <f t="shared" si="6"/>
        <v>22.814937</v>
      </c>
    </row>
    <row r="21" spans="2:8" x14ac:dyDescent="0.25">
      <c r="B21" s="222" t="s">
        <v>109</v>
      </c>
      <c r="C21" s="227">
        <f>'KTF vor BVerfG'!G11-'KTF Ausg Entwurf 24'!C5</f>
        <v>45</v>
      </c>
      <c r="D21" s="224">
        <f>'KTF vor BVerfG'!H11-'KTF Ausg Entwurf 24'!$C$5</f>
        <v>44.4</v>
      </c>
      <c r="E21" s="223">
        <f>'KTF vor BVerfG'!I11-'KTF Ausg Entwurf 24'!$C$5</f>
        <v>37.1</v>
      </c>
      <c r="F21" s="223">
        <f>'KTF vor BVerfG'!J11-'KTF Ausg Entwurf 24'!$C$5</f>
        <v>34.9</v>
      </c>
      <c r="G21" s="224"/>
    </row>
    <row r="23" spans="2:8" x14ac:dyDescent="0.25">
      <c r="B23" s="11" t="s">
        <v>15</v>
      </c>
      <c r="C23" s="13">
        <f>C8/Klimageld!$C$12*1000</f>
        <v>225.58083832335333</v>
      </c>
      <c r="D23" s="62">
        <f>D8/Klimageld!$C$12*1000</f>
        <v>265.26946107784426</v>
      </c>
      <c r="E23" s="12">
        <f>E8/Klimageld!$C$12*1000</f>
        <v>286.6337724550898</v>
      </c>
      <c r="F23" s="62">
        <f>F8/Klimageld!$C$12*1000</f>
        <v>330.23052694610783</v>
      </c>
      <c r="G23" s="14">
        <f>G8/Klimageld!$C$12*1000</f>
        <v>354.66990419161675</v>
      </c>
      <c r="H23" s="14">
        <f>H8/Klimageld!$C$12*1000</f>
        <v>221.55688622754491</v>
      </c>
    </row>
    <row r="24" spans="2:8" x14ac:dyDescent="0.25">
      <c r="B24" s="15" t="s">
        <v>16</v>
      </c>
      <c r="C24" s="19">
        <f>C10/Klimageld!$C$12*1000</f>
        <v>146.76646706586826</v>
      </c>
      <c r="D24" s="63">
        <f>D10/Klimageld!$C$12*1000</f>
        <v>184.55089820359282</v>
      </c>
      <c r="E24" s="17">
        <f>E10/Klimageld!$C$12*1000</f>
        <v>208.97005988023955</v>
      </c>
      <c r="F24" s="63">
        <f>F10/Klimageld!$C$12*1000</f>
        <v>238.45474251497006</v>
      </c>
      <c r="G24" s="18">
        <f>G10/Klimageld!$C$12*1000</f>
        <v>224.32201197604789</v>
      </c>
      <c r="H24" s="18">
        <f>H10/Klimageld!$C$12*1000</f>
        <v>155.68862275449104</v>
      </c>
    </row>
    <row r="25" spans="2:8" x14ac:dyDescent="0.25">
      <c r="C25" s="10"/>
    </row>
    <row r="26" spans="2:8" x14ac:dyDescent="0.25">
      <c r="B26" s="20" t="s">
        <v>25</v>
      </c>
      <c r="C26" s="33" t="s">
        <v>26</v>
      </c>
    </row>
    <row r="27" spans="2:8" x14ac:dyDescent="0.25">
      <c r="B27" s="116" t="s">
        <v>98</v>
      </c>
      <c r="C27" s="60" t="s">
        <v>97</v>
      </c>
    </row>
  </sheetData>
  <mergeCells count="5">
    <mergeCell ref="B5:B6"/>
    <mergeCell ref="C4:D4"/>
    <mergeCell ref="E4:G4"/>
    <mergeCell ref="E5:G5"/>
    <mergeCell ref="B2:G2"/>
  </mergeCells>
  <hyperlinks>
    <hyperlink ref="C26" r:id="rId1" xr:uid="{00000000-0004-0000-0300-000001000000}"/>
    <hyperlink ref="C27" r:id="rId2" xr:uid="{4499688C-C843-485C-986C-6F20BDE7A7B4}"/>
    <hyperlink ref="H4" r:id="rId3" tooltip="UBA" display="https://www.umweltbundesamt.de/presse/pressemitteilungen/einnahmen-aus-dem-emissionshandel-erneut-auf" xr:uid="{10C660DB-C0A9-4BB0-B2D3-1DCB026E7803}"/>
  </hyperlinks>
  <pageMargins left="0.7" right="0.7" top="0.78740157499999996" bottom="0.78740157499999996" header="0.3" footer="0.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2:L30"/>
  <sheetViews>
    <sheetView zoomScale="120" zoomScaleNormal="120" workbookViewId="0">
      <selection activeCell="B2" sqref="B2:J2"/>
    </sheetView>
  </sheetViews>
  <sheetFormatPr baseColWidth="10" defaultColWidth="14.42578125" defaultRowHeight="15" customHeight="1" x14ac:dyDescent="0.25"/>
  <cols>
    <col min="1" max="1" width="3.85546875" customWidth="1"/>
    <col min="2" max="2" width="45.5703125" bestFit="1" customWidth="1"/>
    <col min="3" max="3" width="7" bestFit="1" customWidth="1"/>
    <col min="4" max="4" width="6.140625" customWidth="1"/>
    <col min="5" max="5" width="8.140625" bestFit="1" customWidth="1"/>
    <col min="6" max="6" width="8.140625" customWidth="1"/>
    <col min="7" max="7" width="2" customWidth="1"/>
  </cols>
  <sheetData>
    <row r="2" spans="2:8" ht="15" customHeight="1" x14ac:dyDescent="0.25">
      <c r="B2" s="39" t="s">
        <v>80</v>
      </c>
      <c r="C2" s="20" t="s">
        <v>64</v>
      </c>
      <c r="E2" s="42" t="s">
        <v>26</v>
      </c>
      <c r="F2" s="42"/>
      <c r="G2" s="42"/>
    </row>
    <row r="3" spans="2:8" ht="15" customHeight="1" x14ac:dyDescent="0.25">
      <c r="B3" s="39"/>
    </row>
    <row r="4" spans="2:8" x14ac:dyDescent="0.25">
      <c r="B4" s="101" t="s">
        <v>65</v>
      </c>
      <c r="C4" s="102">
        <v>2025</v>
      </c>
      <c r="D4" s="103">
        <v>2024</v>
      </c>
      <c r="E4" s="580" t="s">
        <v>85</v>
      </c>
      <c r="F4" s="581"/>
      <c r="G4" s="65"/>
    </row>
    <row r="5" spans="2:8" x14ac:dyDescent="0.25">
      <c r="B5" s="85" t="s">
        <v>40</v>
      </c>
      <c r="C5" s="93">
        <v>14.4</v>
      </c>
      <c r="D5" s="94">
        <v>16.5</v>
      </c>
      <c r="E5" s="73">
        <f>C5-D5</f>
        <v>-2.0999999999999996</v>
      </c>
      <c r="F5" s="86">
        <f>C5/D5-1</f>
        <v>-0.1272727272727272</v>
      </c>
      <c r="G5" s="82"/>
      <c r="H5" s="20" t="s">
        <v>39</v>
      </c>
    </row>
    <row r="6" spans="2:8" x14ac:dyDescent="0.25">
      <c r="B6" s="87" t="s">
        <v>28</v>
      </c>
      <c r="C6" s="93">
        <v>0</v>
      </c>
      <c r="D6" s="94">
        <v>19.399999999999999</v>
      </c>
      <c r="E6" s="73">
        <f t="shared" ref="E6:E21" si="0">C6-D6</f>
        <v>-19.399999999999999</v>
      </c>
      <c r="F6" s="86">
        <f t="shared" ref="F6:F21" si="1">C6/D6-1</f>
        <v>-1</v>
      </c>
      <c r="G6" s="82"/>
      <c r="H6" s="20" t="s">
        <v>41</v>
      </c>
    </row>
    <row r="7" spans="2:8" x14ac:dyDescent="0.25">
      <c r="B7" s="85" t="s">
        <v>43</v>
      </c>
      <c r="C7" s="93">
        <v>4.9000000000000004</v>
      </c>
      <c r="D7" s="94">
        <v>4.8</v>
      </c>
      <c r="E7" s="73">
        <f t="shared" si="0"/>
        <v>0.10000000000000053</v>
      </c>
      <c r="F7" s="86">
        <f t="shared" si="1"/>
        <v>2.0833333333333481E-2</v>
      </c>
      <c r="G7" s="82"/>
      <c r="H7" s="20" t="s">
        <v>42</v>
      </c>
    </row>
    <row r="8" spans="2:8" x14ac:dyDescent="0.25">
      <c r="B8" s="85" t="s">
        <v>45</v>
      </c>
      <c r="C8" s="93">
        <v>3.3</v>
      </c>
      <c r="D8" s="94">
        <v>3.9</v>
      </c>
      <c r="E8" s="73">
        <f t="shared" si="0"/>
        <v>-0.60000000000000009</v>
      </c>
      <c r="F8" s="86">
        <f t="shared" si="1"/>
        <v>-0.15384615384615385</v>
      </c>
      <c r="G8" s="82"/>
      <c r="H8" s="20" t="s">
        <v>44</v>
      </c>
    </row>
    <row r="9" spans="2:8" x14ac:dyDescent="0.25">
      <c r="B9" s="85" t="s">
        <v>47</v>
      </c>
      <c r="C9" s="93">
        <v>0.8</v>
      </c>
      <c r="D9" s="94">
        <v>0.9</v>
      </c>
      <c r="E9" s="73">
        <f t="shared" si="0"/>
        <v>-9.9999999999999978E-2</v>
      </c>
      <c r="F9" s="86">
        <f t="shared" si="1"/>
        <v>-0.11111111111111105</v>
      </c>
      <c r="G9" s="82"/>
      <c r="H9" s="20" t="s">
        <v>46</v>
      </c>
    </row>
    <row r="10" spans="2:8" x14ac:dyDescent="0.25">
      <c r="B10" s="85" t="s">
        <v>49</v>
      </c>
      <c r="C10" s="93">
        <v>0.6</v>
      </c>
      <c r="D10" s="94">
        <v>0.7</v>
      </c>
      <c r="E10" s="73">
        <f t="shared" si="0"/>
        <v>-9.9999999999999978E-2</v>
      </c>
      <c r="F10" s="86">
        <f t="shared" si="1"/>
        <v>-0.14285714285714279</v>
      </c>
      <c r="G10" s="82"/>
      <c r="H10" s="20" t="s">
        <v>48</v>
      </c>
    </row>
    <row r="11" spans="2:8" x14ac:dyDescent="0.25">
      <c r="B11" s="85" t="s">
        <v>51</v>
      </c>
      <c r="C11" s="93">
        <v>1.2</v>
      </c>
      <c r="D11" s="94">
        <v>1.3</v>
      </c>
      <c r="E11" s="73">
        <f t="shared" si="0"/>
        <v>-0.10000000000000009</v>
      </c>
      <c r="F11" s="86">
        <f t="shared" si="1"/>
        <v>-7.6923076923076983E-2</v>
      </c>
      <c r="G11" s="82"/>
      <c r="H11" s="20" t="s">
        <v>50</v>
      </c>
    </row>
    <row r="12" spans="2:8" x14ac:dyDescent="0.25">
      <c r="B12" s="85" t="s">
        <v>53</v>
      </c>
      <c r="C12" s="93">
        <v>0.5</v>
      </c>
      <c r="D12" s="94">
        <v>0.6</v>
      </c>
      <c r="E12" s="73">
        <f t="shared" si="0"/>
        <v>-9.9999999999999978E-2</v>
      </c>
      <c r="F12" s="86">
        <f t="shared" si="1"/>
        <v>-0.16666666666666663</v>
      </c>
      <c r="G12" s="82"/>
      <c r="H12" s="20" t="s">
        <v>52</v>
      </c>
    </row>
    <row r="13" spans="2:8" x14ac:dyDescent="0.25">
      <c r="B13" s="85" t="s">
        <v>54</v>
      </c>
      <c r="C13" s="93">
        <v>1</v>
      </c>
      <c r="D13" s="94">
        <v>0.8</v>
      </c>
      <c r="E13" s="73">
        <f t="shared" si="0"/>
        <v>0.19999999999999996</v>
      </c>
      <c r="F13" s="86">
        <f t="shared" si="1"/>
        <v>0.25</v>
      </c>
      <c r="G13" s="82"/>
      <c r="H13" s="20" t="s">
        <v>36</v>
      </c>
    </row>
    <row r="14" spans="2:8" x14ac:dyDescent="0.25">
      <c r="B14" s="85" t="s">
        <v>56</v>
      </c>
      <c r="C14" s="93">
        <v>0</v>
      </c>
      <c r="D14" s="94">
        <v>0.2</v>
      </c>
      <c r="E14" s="73">
        <f t="shared" si="0"/>
        <v>-0.2</v>
      </c>
      <c r="F14" s="86">
        <f t="shared" si="1"/>
        <v>-1</v>
      </c>
      <c r="G14" s="82"/>
      <c r="H14" s="20" t="s">
        <v>55</v>
      </c>
    </row>
    <row r="15" spans="2:8" x14ac:dyDescent="0.25">
      <c r="B15" s="85" t="s">
        <v>58</v>
      </c>
      <c r="C15" s="93">
        <v>1.6</v>
      </c>
      <c r="D15" s="94">
        <v>1.8</v>
      </c>
      <c r="E15" s="73">
        <f t="shared" si="0"/>
        <v>-0.19999999999999996</v>
      </c>
      <c r="F15" s="86">
        <f t="shared" si="1"/>
        <v>-0.11111111111111105</v>
      </c>
      <c r="G15" s="82"/>
      <c r="H15" s="20" t="s">
        <v>57</v>
      </c>
    </row>
    <row r="16" spans="2:8" x14ac:dyDescent="0.25">
      <c r="B16" s="88" t="s">
        <v>60</v>
      </c>
      <c r="C16" s="95">
        <v>0.4</v>
      </c>
      <c r="D16" s="96">
        <v>0.3</v>
      </c>
      <c r="E16" s="73">
        <f t="shared" si="0"/>
        <v>0.10000000000000003</v>
      </c>
      <c r="F16" s="86">
        <f t="shared" si="1"/>
        <v>0.33333333333333348</v>
      </c>
      <c r="G16" s="82"/>
      <c r="H16" s="20" t="s">
        <v>59</v>
      </c>
    </row>
    <row r="17" spans="2:12" x14ac:dyDescent="0.25">
      <c r="B17" s="88" t="s">
        <v>62</v>
      </c>
      <c r="C17" s="95">
        <v>0.5</v>
      </c>
      <c r="D17" s="96">
        <v>0.5</v>
      </c>
      <c r="E17" s="73">
        <f t="shared" si="0"/>
        <v>0</v>
      </c>
      <c r="F17" s="86">
        <f t="shared" si="1"/>
        <v>0</v>
      </c>
      <c r="G17" s="82"/>
      <c r="H17" s="20" t="s">
        <v>61</v>
      </c>
    </row>
    <row r="18" spans="2:12" x14ac:dyDescent="0.25">
      <c r="B18" s="89" t="s">
        <v>37</v>
      </c>
      <c r="C18" s="97">
        <f>C19-SUM(C5:C17)</f>
        <v>5.269999999999996</v>
      </c>
      <c r="D18" s="98">
        <f>D19-SUM(D5:D17)</f>
        <v>6.2066640000000106</v>
      </c>
      <c r="E18" s="81">
        <f t="shared" si="0"/>
        <v>-0.9366640000000146</v>
      </c>
      <c r="F18" s="90">
        <f t="shared" si="1"/>
        <v>-0.15091263197105775</v>
      </c>
      <c r="G18" s="83"/>
      <c r="H18" s="20" t="s">
        <v>37</v>
      </c>
    </row>
    <row r="19" spans="2:12" ht="15" customHeight="1" x14ac:dyDescent="0.25">
      <c r="B19" s="91" t="s">
        <v>83</v>
      </c>
      <c r="C19" s="109">
        <f>'KTF 1. Entwurf BH25'!D12</f>
        <v>34.47</v>
      </c>
      <c r="D19" s="110">
        <f>'KTF 1. Entwurf BH25'!C12</f>
        <v>57.906663999999999</v>
      </c>
      <c r="E19" s="73">
        <f t="shared" si="0"/>
        <v>-23.436664</v>
      </c>
      <c r="F19" s="86">
        <f t="shared" si="1"/>
        <v>-0.40473172483222308</v>
      </c>
      <c r="G19" s="82"/>
      <c r="H19" s="582" t="str">
        <f>CONCATENATE("Die geringeren Ausgaben in 2025 gegenüber 2024 von ",E22*-1," Mrd. € setzen sich damit zusammen aus verringerten Ansätzen um ",E20*-1," Mrd. € und einer Erhöhung der Globalen Minderausgaben (ohne weitere Spezifizierung) um ",E21," Mrd. €.")</f>
        <v>Die geringeren Ausgaben in 2025 gegenüber 2024 von 10 Mrd. € setzen sich damit zusammen aus verringerten Ansätzen um 4 Mrd. € und einer Erhöhung der Globalen Minderausgaben (ohne weitere Spezifizierung) um 6 Mrd. €.</v>
      </c>
      <c r="I19" s="583"/>
      <c r="J19" s="584"/>
    </row>
    <row r="20" spans="2:12" x14ac:dyDescent="0.25">
      <c r="B20" s="91" t="s">
        <v>84</v>
      </c>
      <c r="C20" s="99">
        <f>C19-C6</f>
        <v>34.47</v>
      </c>
      <c r="D20" s="100">
        <f>D19-D6</f>
        <v>38.506664000000001</v>
      </c>
      <c r="E20" s="75">
        <f>ROUND(C20-D20,1)</f>
        <v>-4</v>
      </c>
      <c r="F20" s="92">
        <f t="shared" si="1"/>
        <v>-0.10483027041760884</v>
      </c>
      <c r="G20" s="82"/>
      <c r="H20" s="585"/>
      <c r="I20" s="586"/>
      <c r="J20" s="587"/>
    </row>
    <row r="21" spans="2:12" x14ac:dyDescent="0.25">
      <c r="B21" s="88" t="s">
        <v>63</v>
      </c>
      <c r="C21" s="93">
        <f>'KTF 1. Entwurf BH25'!D15</f>
        <v>9</v>
      </c>
      <c r="D21" s="94">
        <v>3</v>
      </c>
      <c r="E21" s="73">
        <f t="shared" si="0"/>
        <v>6</v>
      </c>
      <c r="F21" s="86">
        <f t="shared" si="1"/>
        <v>2</v>
      </c>
      <c r="G21" s="73"/>
      <c r="H21" s="585"/>
      <c r="I21" s="586"/>
      <c r="J21" s="587"/>
    </row>
    <row r="22" spans="2:12" ht="15" customHeight="1" x14ac:dyDescent="0.25">
      <c r="B22" s="104" t="s">
        <v>96</v>
      </c>
      <c r="C22" s="105">
        <f>C20-C21</f>
        <v>25.47</v>
      </c>
      <c r="D22" s="106">
        <f>D20-D21</f>
        <v>35.506664000000001</v>
      </c>
      <c r="E22" s="107">
        <f>ROUND(C22-D22,1)</f>
        <v>-10</v>
      </c>
      <c r="F22" s="108">
        <f t="shared" ref="F22" si="2">C22/D22-1</f>
        <v>-0.28266986726773324</v>
      </c>
      <c r="G22" s="75"/>
      <c r="H22" s="588"/>
      <c r="I22" s="589"/>
      <c r="J22" s="590"/>
      <c r="K22" s="111"/>
      <c r="L22" s="84"/>
    </row>
    <row r="23" spans="2:12" ht="15" customHeight="1" x14ac:dyDescent="0.25">
      <c r="B23" s="39"/>
      <c r="C23" s="75"/>
      <c r="D23" s="75"/>
      <c r="E23" s="75"/>
      <c r="F23" s="82"/>
      <c r="G23" s="75"/>
      <c r="H23" s="111"/>
      <c r="I23" s="111"/>
      <c r="J23" s="111"/>
      <c r="K23" s="111"/>
      <c r="L23" s="84"/>
    </row>
    <row r="24" spans="2:12" x14ac:dyDescent="0.25">
      <c r="B24" s="80" t="s">
        <v>65</v>
      </c>
      <c r="C24" s="74">
        <v>2025</v>
      </c>
      <c r="D24" s="74"/>
      <c r="E24" s="64"/>
      <c r="F24" s="64"/>
      <c r="G24" s="64"/>
      <c r="H24" s="84"/>
      <c r="I24" s="84"/>
      <c r="J24" s="84"/>
      <c r="K24" s="84"/>
      <c r="L24" s="84"/>
    </row>
    <row r="25" spans="2:12" x14ac:dyDescent="0.25">
      <c r="B25" s="68" t="s">
        <v>86</v>
      </c>
      <c r="C25" s="72">
        <f>'KTF nach BH24'!D12</f>
        <v>57</v>
      </c>
      <c r="D25" s="71" t="s">
        <v>92</v>
      </c>
      <c r="E25" s="64"/>
      <c r="F25" s="64"/>
      <c r="G25" s="64"/>
      <c r="I25" s="67"/>
      <c r="J25" s="67"/>
      <c r="K25" s="67"/>
      <c r="L25" s="67"/>
    </row>
    <row r="26" spans="2:12" x14ac:dyDescent="0.25">
      <c r="B26" s="70" t="s">
        <v>90</v>
      </c>
      <c r="C26" s="76">
        <f>'KTF Ausg Entwurf 24'!C5*-1</f>
        <v>-12.6</v>
      </c>
      <c r="D26" s="71" t="s">
        <v>87</v>
      </c>
      <c r="E26" s="64"/>
      <c r="F26" s="64"/>
      <c r="G26" s="64"/>
      <c r="I26" s="67"/>
      <c r="J26" s="67"/>
      <c r="K26" s="67"/>
      <c r="L26" s="67"/>
    </row>
    <row r="27" spans="2:12" x14ac:dyDescent="0.25">
      <c r="B27" s="68" t="s">
        <v>88</v>
      </c>
      <c r="C27" s="72">
        <f>SUM(C25:C26)</f>
        <v>44.4</v>
      </c>
      <c r="D27" s="40"/>
      <c r="E27" s="64"/>
      <c r="F27" s="64"/>
      <c r="G27" s="64"/>
      <c r="H27" s="69"/>
      <c r="I27" s="67"/>
      <c r="J27" s="67"/>
      <c r="K27" s="67"/>
      <c r="L27" s="67"/>
    </row>
    <row r="28" spans="2:12" x14ac:dyDescent="0.25">
      <c r="B28" s="68" t="s">
        <v>91</v>
      </c>
      <c r="C28" s="72">
        <f>C20</f>
        <v>34.47</v>
      </c>
      <c r="D28" s="40"/>
      <c r="E28" s="64"/>
      <c r="F28" s="64"/>
      <c r="G28" s="64"/>
      <c r="H28" s="69"/>
      <c r="I28" s="67"/>
      <c r="J28" s="67"/>
      <c r="K28" s="67"/>
      <c r="L28" s="67"/>
    </row>
    <row r="29" spans="2:12" x14ac:dyDescent="0.25">
      <c r="B29" s="579" t="s">
        <v>89</v>
      </c>
      <c r="C29" s="72">
        <f>C28-C27</f>
        <v>-9.93</v>
      </c>
      <c r="D29" s="40"/>
      <c r="E29" s="64"/>
      <c r="F29" s="64"/>
      <c r="G29" s="64"/>
      <c r="H29" s="69"/>
      <c r="I29" s="67"/>
      <c r="J29" s="67"/>
      <c r="K29" s="67"/>
      <c r="L29" s="67"/>
    </row>
    <row r="30" spans="2:12" x14ac:dyDescent="0.25">
      <c r="B30" s="579"/>
      <c r="C30" s="112">
        <f>C29/C27</f>
        <v>-0.22364864864864864</v>
      </c>
      <c r="D30" s="40"/>
      <c r="E30" s="64"/>
      <c r="F30" s="64"/>
      <c r="G30" s="64"/>
      <c r="H30" s="69"/>
      <c r="I30" s="67"/>
      <c r="J30" s="67"/>
      <c r="K30" s="67"/>
      <c r="L30" s="67"/>
    </row>
  </sheetData>
  <mergeCells count="3">
    <mergeCell ref="B29:B30"/>
    <mergeCell ref="E4:F4"/>
    <mergeCell ref="H19:J22"/>
  </mergeCells>
  <hyperlinks>
    <hyperlink ref="E2" r:id="rId1" xr:uid="{00000000-0004-0000-0500-000000000000}"/>
  </hyperlinks>
  <pageMargins left="0.7" right="0.7" top="0.78740157499999996" bottom="0.78740157499999996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I24"/>
  <sheetViews>
    <sheetView zoomScale="140" zoomScaleNormal="140" workbookViewId="0">
      <selection activeCell="J33" sqref="J33"/>
    </sheetView>
  </sheetViews>
  <sheetFormatPr baseColWidth="10" defaultColWidth="14.42578125" defaultRowHeight="15" customHeight="1" x14ac:dyDescent="0.25"/>
  <cols>
    <col min="1" max="1" width="1.140625" customWidth="1"/>
    <col min="2" max="2" width="40.85546875" bestFit="1" customWidth="1"/>
    <col min="3" max="3" width="9.28515625" customWidth="1"/>
    <col min="4" max="4" width="7.140625" customWidth="1"/>
    <col min="5" max="6" width="6" bestFit="1" customWidth="1"/>
    <col min="7" max="7" width="5.42578125" customWidth="1"/>
    <col min="9" max="9" width="15.7109375" customWidth="1"/>
  </cols>
  <sheetData>
    <row r="1" spans="2:9" ht="10.5" customHeight="1" x14ac:dyDescent="0.25">
      <c r="D1" s="10"/>
      <c r="E1" s="10"/>
      <c r="F1" s="10"/>
    </row>
    <row r="2" spans="2:9" x14ac:dyDescent="0.25">
      <c r="B2" s="592" t="s">
        <v>110</v>
      </c>
      <c r="C2" s="593"/>
      <c r="D2" s="593"/>
      <c r="E2" s="593"/>
      <c r="F2" s="594"/>
      <c r="G2" s="79"/>
      <c r="H2" s="79"/>
      <c r="I2" s="79"/>
    </row>
    <row r="3" spans="2:9" ht="6.75" customHeight="1" x14ac:dyDescent="0.25"/>
    <row r="4" spans="2:9" x14ac:dyDescent="0.25">
      <c r="C4" s="26" t="s">
        <v>20</v>
      </c>
      <c r="D4" s="595" t="s">
        <v>21</v>
      </c>
      <c r="E4" s="556"/>
      <c r="F4" s="557"/>
    </row>
    <row r="5" spans="2:9" x14ac:dyDescent="0.25">
      <c r="B5" s="596" t="s">
        <v>4</v>
      </c>
      <c r="C5" s="27" t="s">
        <v>1</v>
      </c>
      <c r="D5" s="597" t="s">
        <v>3</v>
      </c>
      <c r="E5" s="556"/>
      <c r="F5" s="557"/>
    </row>
    <row r="6" spans="2:9" x14ac:dyDescent="0.25">
      <c r="B6" s="569"/>
      <c r="C6" s="3">
        <v>2024</v>
      </c>
      <c r="D6" s="2">
        <f t="shared" ref="D6:F6" si="0">C6+1</f>
        <v>2025</v>
      </c>
      <c r="E6" s="1">
        <f t="shared" si="0"/>
        <v>2026</v>
      </c>
      <c r="F6" s="3">
        <f t="shared" si="0"/>
        <v>2027</v>
      </c>
    </row>
    <row r="7" spans="2:9" x14ac:dyDescent="0.25">
      <c r="B7" s="66" t="s">
        <v>5</v>
      </c>
      <c r="C7" s="119">
        <f t="shared" ref="C7:F7" si="1">SUM(C9:C11)</f>
        <v>20.442</v>
      </c>
      <c r="D7" s="120">
        <f t="shared" si="1"/>
        <v>23.700000000000003</v>
      </c>
      <c r="E7" s="162">
        <f t="shared" si="1"/>
        <v>29.299999999999997</v>
      </c>
      <c r="F7" s="119">
        <f t="shared" si="1"/>
        <v>34.700000000000003</v>
      </c>
    </row>
    <row r="8" spans="2:9" x14ac:dyDescent="0.25">
      <c r="B8" s="4" t="s">
        <v>6</v>
      </c>
      <c r="C8" s="121">
        <f t="shared" ref="C8:F8" si="2">SUM(C9:C10)</f>
        <v>20.442</v>
      </c>
      <c r="D8" s="122">
        <f t="shared" si="2"/>
        <v>23.700000000000003</v>
      </c>
      <c r="E8" s="163">
        <f t="shared" si="2"/>
        <v>29.299999999999997</v>
      </c>
      <c r="F8" s="164">
        <f t="shared" si="2"/>
        <v>34.700000000000003</v>
      </c>
    </row>
    <row r="9" spans="2:9" x14ac:dyDescent="0.25">
      <c r="B9" s="5" t="s">
        <v>7</v>
      </c>
      <c r="C9" s="117">
        <v>8.1869999999999994</v>
      </c>
      <c r="D9" s="118">
        <v>10.8</v>
      </c>
      <c r="E9" s="146">
        <v>12.9</v>
      </c>
      <c r="F9" s="117">
        <v>12.8</v>
      </c>
    </row>
    <row r="10" spans="2:9" x14ac:dyDescent="0.25">
      <c r="B10" s="5" t="s">
        <v>8</v>
      </c>
      <c r="C10" s="117">
        <v>12.255000000000001</v>
      </c>
      <c r="D10" s="118">
        <v>12.9</v>
      </c>
      <c r="E10" s="146">
        <v>16.399999999999999</v>
      </c>
      <c r="F10" s="117">
        <v>21.9</v>
      </c>
    </row>
    <row r="11" spans="2:9" x14ac:dyDescent="0.25">
      <c r="B11" s="4" t="s">
        <v>9</v>
      </c>
      <c r="C11" s="123">
        <v>0</v>
      </c>
      <c r="D11" s="124" t="s">
        <v>22</v>
      </c>
      <c r="E11" s="165" t="s">
        <v>22</v>
      </c>
      <c r="F11" s="166" t="s">
        <v>22</v>
      </c>
    </row>
    <row r="12" spans="2:9" x14ac:dyDescent="0.25">
      <c r="B12" s="66" t="s">
        <v>12</v>
      </c>
      <c r="C12" s="167">
        <v>49.454000000000001</v>
      </c>
      <c r="D12" s="168">
        <v>57</v>
      </c>
      <c r="E12" s="169">
        <v>49.7</v>
      </c>
      <c r="F12" s="170">
        <v>47.5</v>
      </c>
    </row>
    <row r="13" spans="2:9" s="160" customFormat="1" ht="12.75" x14ac:dyDescent="0.2">
      <c r="B13" s="159" t="s">
        <v>103</v>
      </c>
      <c r="C13" s="171">
        <v>57.6</v>
      </c>
      <c r="D13" s="172"/>
      <c r="E13" s="172"/>
      <c r="F13" s="173"/>
    </row>
    <row r="14" spans="2:9" x14ac:dyDescent="0.25">
      <c r="B14" s="158" t="s">
        <v>102</v>
      </c>
      <c r="C14" s="174">
        <v>29</v>
      </c>
      <c r="D14" s="175">
        <f>C17</f>
        <v>-1.2000000000000455E-2</v>
      </c>
      <c r="E14" s="176">
        <f>D17</f>
        <v>-28.111999999999998</v>
      </c>
      <c r="F14" s="174">
        <f>E17</f>
        <v>-43.311999999999998</v>
      </c>
    </row>
    <row r="15" spans="2:9" x14ac:dyDescent="0.25">
      <c r="B15" s="4" t="s">
        <v>13</v>
      </c>
      <c r="C15" s="121">
        <f>C7-C12</f>
        <v>-29.012</v>
      </c>
      <c r="D15" s="177">
        <f>D7-D12</f>
        <v>-33.299999999999997</v>
      </c>
      <c r="E15" s="134">
        <f>E7-E12</f>
        <v>-20.400000000000006</v>
      </c>
      <c r="F15" s="121">
        <f>F7-F12</f>
        <v>-12.799999999999997</v>
      </c>
    </row>
    <row r="16" spans="2:9" x14ac:dyDescent="0.25">
      <c r="B16" s="8" t="s">
        <v>14</v>
      </c>
      <c r="C16" s="182">
        <v>0</v>
      </c>
      <c r="D16" s="183">
        <v>5.2</v>
      </c>
      <c r="E16" s="133">
        <v>5.2</v>
      </c>
      <c r="F16" s="182">
        <v>5.2</v>
      </c>
    </row>
    <row r="17" spans="2:6" ht="15" customHeight="1" x14ac:dyDescent="0.25">
      <c r="B17" s="161" t="s">
        <v>82</v>
      </c>
      <c r="C17" s="178">
        <f>SUM(C14:C16)</f>
        <v>-1.2000000000000455E-2</v>
      </c>
      <c r="D17" s="179">
        <f t="shared" ref="D17:F17" si="3">SUM(D14:D16)</f>
        <v>-28.111999999999998</v>
      </c>
      <c r="E17" s="180">
        <f t="shared" si="3"/>
        <v>-43.311999999999998</v>
      </c>
      <c r="F17" s="181">
        <f t="shared" si="3"/>
        <v>-50.911999999999992</v>
      </c>
    </row>
    <row r="18" spans="2:6" x14ac:dyDescent="0.25"/>
    <row r="19" spans="2:6" x14ac:dyDescent="0.25">
      <c r="B19" s="11" t="s">
        <v>15</v>
      </c>
      <c r="C19" s="28">
        <f>C8/Klimageld!$C$12*1000</f>
        <v>244.81437125748505</v>
      </c>
      <c r="D19" s="12">
        <f>D8/Klimageld!$C$12*1000</f>
        <v>283.83233532934139</v>
      </c>
      <c r="E19" s="12">
        <f>E8/Klimageld!$C$12*1000</f>
        <v>350.8982035928143</v>
      </c>
      <c r="F19" s="14">
        <f>F8/Klimageld!$C$12*1000</f>
        <v>415.56886227544913</v>
      </c>
    </row>
    <row r="20" spans="2:6" x14ac:dyDescent="0.25">
      <c r="B20" s="15" t="s">
        <v>16</v>
      </c>
      <c r="C20" s="29">
        <f>C10/Klimageld!$C$12*1000</f>
        <v>146.76646706586826</v>
      </c>
      <c r="D20" s="17">
        <f>D10/Klimageld!$C$12*1000</f>
        <v>154.49101796407186</v>
      </c>
      <c r="E20" s="17">
        <f>E10/Klimageld!$C$12*1000</f>
        <v>196.4071856287425</v>
      </c>
      <c r="F20" s="18">
        <f>F10/Klimageld!$C$12*1000</f>
        <v>262.27544910179643</v>
      </c>
    </row>
    <row r="21" spans="2:6" ht="15" customHeight="1" x14ac:dyDescent="0.25">
      <c r="C21" s="10"/>
    </row>
    <row r="22" spans="2:6" ht="15" customHeight="1" x14ac:dyDescent="0.25">
      <c r="B22" s="598" t="s">
        <v>23</v>
      </c>
      <c r="C22" s="599"/>
      <c r="D22" s="599"/>
      <c r="E22" s="599"/>
      <c r="F22" s="600"/>
    </row>
    <row r="23" spans="2:6" ht="15" customHeight="1" x14ac:dyDescent="0.25">
      <c r="B23" s="601"/>
      <c r="C23" s="602"/>
      <c r="D23" s="602"/>
      <c r="E23" s="602"/>
      <c r="F23" s="603"/>
    </row>
    <row r="24" spans="2:6" ht="15" customHeight="1" x14ac:dyDescent="0.25">
      <c r="B24" s="509" t="s">
        <v>24</v>
      </c>
      <c r="C24" s="591"/>
      <c r="D24" s="591"/>
      <c r="E24" s="591"/>
      <c r="F24" s="510"/>
    </row>
  </sheetData>
  <mergeCells count="6">
    <mergeCell ref="B24:F24"/>
    <mergeCell ref="B2:F2"/>
    <mergeCell ref="D4:F4"/>
    <mergeCell ref="B5:B6"/>
    <mergeCell ref="D5:F5"/>
    <mergeCell ref="B22:F23"/>
  </mergeCells>
  <hyperlinks>
    <hyperlink ref="B24" r:id="rId1" xr:uid="{00000000-0004-0000-0200-000000000000}"/>
  </hyperlinks>
  <pageMargins left="0.7" right="0.7" top="0.78740157499999996" bottom="0.78740157499999996" header="0.3" footer="0.3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B2:E14"/>
  <sheetViews>
    <sheetView workbookViewId="0">
      <selection activeCell="H35" sqref="H35"/>
    </sheetView>
  </sheetViews>
  <sheetFormatPr baseColWidth="10" defaultColWidth="14.42578125" defaultRowHeight="15" customHeight="1" x14ac:dyDescent="0.25"/>
  <cols>
    <col min="1" max="1" width="6.85546875" customWidth="1"/>
    <col min="2" max="2" width="45.7109375" customWidth="1"/>
  </cols>
  <sheetData>
    <row r="2" spans="2:5" x14ac:dyDescent="0.25">
      <c r="B2" s="34" t="s">
        <v>94</v>
      </c>
      <c r="C2" s="35"/>
    </row>
    <row r="3" spans="2:5" x14ac:dyDescent="0.25">
      <c r="B3" s="34"/>
      <c r="C3" s="35"/>
    </row>
    <row r="4" spans="2:5" x14ac:dyDescent="0.25">
      <c r="B4" s="35" t="s">
        <v>27</v>
      </c>
      <c r="C4" s="36">
        <v>18.8</v>
      </c>
    </row>
    <row r="5" spans="2:5" x14ac:dyDescent="0.25">
      <c r="B5" s="35" t="s">
        <v>28</v>
      </c>
      <c r="C5" s="36">
        <v>12.6</v>
      </c>
      <c r="E5" s="37" t="s">
        <v>29</v>
      </c>
    </row>
    <row r="6" spans="2:5" x14ac:dyDescent="0.25">
      <c r="B6" s="35" t="s">
        <v>30</v>
      </c>
      <c r="C6" s="36">
        <v>4.0999999999999996</v>
      </c>
    </row>
    <row r="7" spans="2:5" x14ac:dyDescent="0.25">
      <c r="B7" s="38" t="s">
        <v>31</v>
      </c>
      <c r="C7" s="25">
        <v>4</v>
      </c>
    </row>
    <row r="8" spans="2:5" x14ac:dyDescent="0.25">
      <c r="B8" s="35" t="s">
        <v>32</v>
      </c>
      <c r="C8" s="36">
        <v>3.7</v>
      </c>
    </row>
    <row r="9" spans="2:5" x14ac:dyDescent="0.25">
      <c r="B9" s="35" t="s">
        <v>33</v>
      </c>
      <c r="C9" s="36">
        <v>2.6</v>
      </c>
    </row>
    <row r="10" spans="2:5" x14ac:dyDescent="0.25">
      <c r="B10" s="35" t="s">
        <v>34</v>
      </c>
      <c r="C10" s="36">
        <v>4.7</v>
      </c>
    </row>
    <row r="11" spans="2:5" x14ac:dyDescent="0.25">
      <c r="B11" s="35" t="s">
        <v>35</v>
      </c>
      <c r="C11" s="36">
        <v>0.9</v>
      </c>
    </row>
    <row r="12" spans="2:5" x14ac:dyDescent="0.25">
      <c r="B12" s="35" t="s">
        <v>36</v>
      </c>
      <c r="C12" s="36">
        <v>0.8</v>
      </c>
    </row>
    <row r="13" spans="2:5" x14ac:dyDescent="0.25">
      <c r="B13" s="35" t="s">
        <v>37</v>
      </c>
      <c r="C13" s="36">
        <v>5.4</v>
      </c>
    </row>
    <row r="14" spans="2:5" x14ac:dyDescent="0.25">
      <c r="B14" s="39" t="s">
        <v>38</v>
      </c>
      <c r="C14" s="39">
        <f>SUM(C4:C13)</f>
        <v>57.6</v>
      </c>
    </row>
  </sheetData>
  <hyperlinks>
    <hyperlink ref="E5" r:id="rId1" xr:uid="{00000000-0004-0000-0400-000000000000}"/>
  </hyperlinks>
  <pageMargins left="0.7" right="0.7" top="0.78740157499999996" bottom="0.78740157499999996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I16"/>
  <sheetViews>
    <sheetView zoomScale="140" zoomScaleNormal="140" workbookViewId="0">
      <selection activeCell="B2" sqref="B2:G2"/>
    </sheetView>
  </sheetViews>
  <sheetFormatPr baseColWidth="10" defaultColWidth="14.42578125" defaultRowHeight="15" customHeight="1" x14ac:dyDescent="0.25"/>
  <cols>
    <col min="1" max="1" width="1.140625" customWidth="1"/>
    <col min="2" max="2" width="42" bestFit="1" customWidth="1"/>
    <col min="3" max="3" width="5.5703125" customWidth="1"/>
    <col min="4" max="4" width="8" bestFit="1" customWidth="1"/>
    <col min="5" max="5" width="7.140625" customWidth="1"/>
    <col min="6" max="7" width="5.5703125" customWidth="1"/>
    <col min="8" max="8" width="5.42578125" customWidth="1"/>
    <col min="9" max="9" width="7" customWidth="1"/>
  </cols>
  <sheetData>
    <row r="1" spans="2:9" ht="7.5" customHeight="1" x14ac:dyDescent="0.25"/>
    <row r="2" spans="2:9" x14ac:dyDescent="0.25">
      <c r="B2" s="576" t="s">
        <v>95</v>
      </c>
      <c r="C2" s="577"/>
      <c r="D2" s="577"/>
      <c r="E2" s="577"/>
      <c r="F2" s="577"/>
      <c r="G2" s="578"/>
    </row>
    <row r="3" spans="2:9" ht="7.5" customHeight="1" x14ac:dyDescent="0.25"/>
    <row r="4" spans="2:9" x14ac:dyDescent="0.25">
      <c r="B4" s="607" t="s">
        <v>4</v>
      </c>
      <c r="C4" s="217" t="s">
        <v>1</v>
      </c>
      <c r="D4" s="215" t="s">
        <v>2</v>
      </c>
      <c r="E4" s="604" t="s">
        <v>3</v>
      </c>
      <c r="F4" s="605"/>
      <c r="G4" s="606"/>
      <c r="I4" s="22" t="s">
        <v>0</v>
      </c>
    </row>
    <row r="5" spans="2:9" x14ac:dyDescent="0.25">
      <c r="B5" s="608"/>
      <c r="C5" s="216">
        <v>2023</v>
      </c>
      <c r="D5" s="3">
        <v>2024</v>
      </c>
      <c r="E5" s="2">
        <f t="shared" ref="E5:G5" si="0">D5+1</f>
        <v>2025</v>
      </c>
      <c r="F5" s="1">
        <f t="shared" si="0"/>
        <v>2026</v>
      </c>
      <c r="G5" s="3">
        <f t="shared" si="0"/>
        <v>2027</v>
      </c>
      <c r="I5" s="24">
        <v>2023</v>
      </c>
    </row>
    <row r="6" spans="2:9" x14ac:dyDescent="0.25">
      <c r="B6" s="214" t="s">
        <v>5</v>
      </c>
      <c r="C6" s="125">
        <f t="shared" ref="C6:G6" si="1">SUM(C8:C10)</f>
        <v>15.899999999999999</v>
      </c>
      <c r="D6" s="119">
        <f t="shared" si="1"/>
        <v>19.100000000000001</v>
      </c>
      <c r="E6" s="120">
        <f t="shared" si="1"/>
        <v>23.700000000000003</v>
      </c>
      <c r="F6" s="162">
        <f t="shared" si="1"/>
        <v>29.299999999999997</v>
      </c>
      <c r="G6" s="119">
        <f t="shared" si="1"/>
        <v>34.700000000000003</v>
      </c>
      <c r="I6" s="185">
        <f>SUM(I8:I10)</f>
        <v>18.372999999999998</v>
      </c>
    </row>
    <row r="7" spans="2:9" x14ac:dyDescent="0.25">
      <c r="B7" s="4" t="s">
        <v>6</v>
      </c>
      <c r="C7" s="122">
        <f t="shared" ref="C7:G7" si="2">SUM(C8:C9)</f>
        <v>15.899999999999999</v>
      </c>
      <c r="D7" s="164">
        <f t="shared" si="2"/>
        <v>19.100000000000001</v>
      </c>
      <c r="E7" s="177">
        <f t="shared" si="2"/>
        <v>23.700000000000003</v>
      </c>
      <c r="F7" s="134">
        <f t="shared" si="2"/>
        <v>29.299999999999997</v>
      </c>
      <c r="G7" s="121">
        <f t="shared" si="2"/>
        <v>34.700000000000003</v>
      </c>
      <c r="I7" s="186">
        <f>SUM(I8:I9)</f>
        <v>18.372999999999998</v>
      </c>
    </row>
    <row r="8" spans="2:9" x14ac:dyDescent="0.25">
      <c r="B8" s="5" t="s">
        <v>7</v>
      </c>
      <c r="C8" s="118">
        <v>7.3</v>
      </c>
      <c r="D8" s="117">
        <v>8.1999999999999993</v>
      </c>
      <c r="E8" s="118">
        <v>10.8</v>
      </c>
      <c r="F8" s="146">
        <v>12.9</v>
      </c>
      <c r="G8" s="117">
        <v>12.8</v>
      </c>
      <c r="I8" s="187">
        <v>7.6449999999999996</v>
      </c>
    </row>
    <row r="9" spans="2:9" x14ac:dyDescent="0.25">
      <c r="B9" s="5" t="s">
        <v>8</v>
      </c>
      <c r="C9" s="118">
        <v>8.6</v>
      </c>
      <c r="D9" s="117">
        <v>10.9</v>
      </c>
      <c r="E9" s="118">
        <v>12.9</v>
      </c>
      <c r="F9" s="146">
        <v>16.399999999999999</v>
      </c>
      <c r="G9" s="117">
        <v>21.9</v>
      </c>
      <c r="I9" s="187">
        <v>10.728</v>
      </c>
    </row>
    <row r="10" spans="2:9" x14ac:dyDescent="0.25">
      <c r="B10" s="4" t="s">
        <v>9</v>
      </c>
      <c r="C10" s="191"/>
      <c r="D10" s="192"/>
      <c r="E10" s="191"/>
      <c r="F10" s="123"/>
      <c r="G10" s="192"/>
      <c r="I10" s="188"/>
    </row>
    <row r="11" spans="2:9" x14ac:dyDescent="0.25">
      <c r="B11" s="207" t="s">
        <v>12</v>
      </c>
      <c r="C11" s="212">
        <v>36</v>
      </c>
      <c r="D11" s="209">
        <v>57.6</v>
      </c>
      <c r="E11" s="208">
        <v>57</v>
      </c>
      <c r="F11" s="208">
        <v>49.7</v>
      </c>
      <c r="G11" s="209">
        <v>47.5</v>
      </c>
      <c r="I11" s="190">
        <v>20.100000000000001</v>
      </c>
    </row>
    <row r="12" spans="2:9" x14ac:dyDescent="0.25">
      <c r="B12" s="43" t="s">
        <v>102</v>
      </c>
      <c r="C12" s="210">
        <f>78.9-60</f>
        <v>18.900000000000006</v>
      </c>
      <c r="D12" s="213">
        <f>70.7-60</f>
        <v>10.700000000000003</v>
      </c>
      <c r="E12" s="176">
        <f>D15</f>
        <v>-18.499999999999996</v>
      </c>
      <c r="F12" s="176">
        <f>E15</f>
        <v>-46.599999999999994</v>
      </c>
      <c r="G12" s="211">
        <f>F15</f>
        <v>-61.8</v>
      </c>
      <c r="I12" s="184"/>
    </row>
    <row r="13" spans="2:9" x14ac:dyDescent="0.25">
      <c r="B13" s="23" t="s">
        <v>13</v>
      </c>
      <c r="C13" s="138">
        <f t="shared" ref="C13:G13" si="3">C6-C11</f>
        <v>-20.100000000000001</v>
      </c>
      <c r="D13" s="139">
        <f t="shared" si="3"/>
        <v>-38.5</v>
      </c>
      <c r="E13" s="134">
        <f t="shared" si="3"/>
        <v>-33.299999999999997</v>
      </c>
      <c r="F13" s="134">
        <f t="shared" si="3"/>
        <v>-20.400000000000006</v>
      </c>
      <c r="G13" s="139">
        <f t="shared" si="3"/>
        <v>-12.799999999999997</v>
      </c>
      <c r="I13" s="189">
        <f>I6-I11</f>
        <v>-1.7270000000000039</v>
      </c>
    </row>
    <row r="14" spans="2:9" x14ac:dyDescent="0.25">
      <c r="B14" s="115" t="s">
        <v>14</v>
      </c>
      <c r="C14" s="142">
        <v>6</v>
      </c>
      <c r="D14" s="144">
        <v>9.3000000000000007</v>
      </c>
      <c r="E14" s="143">
        <v>5.2</v>
      </c>
      <c r="F14" s="143">
        <v>5.2</v>
      </c>
      <c r="G14" s="144">
        <v>5.2</v>
      </c>
    </row>
    <row r="15" spans="2:9" x14ac:dyDescent="0.25">
      <c r="B15" s="194" t="s">
        <v>82</v>
      </c>
      <c r="C15" s="197">
        <f t="shared" ref="C15:G15" si="4">SUM(C12:C14)</f>
        <v>4.8000000000000043</v>
      </c>
      <c r="D15" s="199">
        <f t="shared" si="4"/>
        <v>-18.499999999999996</v>
      </c>
      <c r="E15" s="198">
        <f t="shared" si="4"/>
        <v>-46.599999999999994</v>
      </c>
      <c r="F15" s="198">
        <f t="shared" si="4"/>
        <v>-61.8</v>
      </c>
      <c r="G15" s="199">
        <f t="shared" si="4"/>
        <v>-69.399999999999991</v>
      </c>
    </row>
    <row r="16" spans="2:9" ht="15" customHeight="1" x14ac:dyDescent="0.25">
      <c r="C16" s="184"/>
      <c r="D16" s="184"/>
      <c r="E16" s="184"/>
      <c r="F16" s="184"/>
      <c r="G16" s="184"/>
    </row>
  </sheetData>
  <mergeCells count="3">
    <mergeCell ref="E4:G4"/>
    <mergeCell ref="B2:G2"/>
    <mergeCell ref="B4:B5"/>
  </mergeCells>
  <hyperlinks>
    <hyperlink ref="I5" r:id="rId1" display="https://table.media/wp-content/uploads/2024/04/04175233/240401__BMF_13._KTF-Bericht_Wasser.pdf" xr:uid="{00000000-0004-0000-0100-000000000000}"/>
  </hyperlinks>
  <pageMargins left="0.7" right="0.7" top="0.78740157499999996" bottom="0.78740157499999996" header="0.3" footer="0.3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K21"/>
  <sheetViews>
    <sheetView zoomScale="145" zoomScaleNormal="145" workbookViewId="0">
      <selection activeCell="B2" sqref="B2:J2"/>
    </sheetView>
  </sheetViews>
  <sheetFormatPr baseColWidth="10" defaultColWidth="14.42578125" defaultRowHeight="15" customHeight="1" x14ac:dyDescent="0.25"/>
  <cols>
    <col min="1" max="1" width="1.140625" customWidth="1"/>
    <col min="2" max="2" width="41.7109375" customWidth="1"/>
    <col min="3" max="3" width="5.42578125" customWidth="1"/>
    <col min="4" max="4" width="6" customWidth="1"/>
    <col min="5" max="6" width="5.85546875" customWidth="1"/>
    <col min="7" max="7" width="7.85546875" customWidth="1"/>
    <col min="8" max="8" width="5.7109375" bestFit="1" customWidth="1"/>
    <col min="9" max="10" width="5.85546875" customWidth="1"/>
    <col min="11" max="11" width="11.140625" customWidth="1"/>
  </cols>
  <sheetData>
    <row r="1" spans="2:11" ht="7.5" customHeight="1" x14ac:dyDescent="0.25"/>
    <row r="2" spans="2:11" x14ac:dyDescent="0.25">
      <c r="B2" s="612" t="s">
        <v>93</v>
      </c>
      <c r="C2" s="593"/>
      <c r="D2" s="593"/>
      <c r="E2" s="593"/>
      <c r="F2" s="593"/>
      <c r="G2" s="593"/>
      <c r="H2" s="593"/>
      <c r="I2" s="593"/>
      <c r="J2" s="594"/>
    </row>
    <row r="3" spans="2:11" ht="7.5" customHeight="1" x14ac:dyDescent="0.25"/>
    <row r="4" spans="2:11" x14ac:dyDescent="0.25">
      <c r="B4" s="607" t="s">
        <v>4</v>
      </c>
      <c r="C4" s="204" t="s">
        <v>0</v>
      </c>
      <c r="D4" s="204" t="s">
        <v>0</v>
      </c>
      <c r="E4" s="204" t="s">
        <v>0</v>
      </c>
      <c r="F4" s="205" t="s">
        <v>1</v>
      </c>
      <c r="G4" s="206" t="s">
        <v>2</v>
      </c>
      <c r="H4" s="609" t="s">
        <v>3</v>
      </c>
      <c r="I4" s="610"/>
      <c r="J4" s="611"/>
    </row>
    <row r="5" spans="2:11" x14ac:dyDescent="0.25">
      <c r="B5" s="608"/>
      <c r="C5" s="1">
        <v>2020</v>
      </c>
      <c r="D5" s="1">
        <v>2021</v>
      </c>
      <c r="E5" s="1">
        <v>2022</v>
      </c>
      <c r="F5" s="2">
        <v>2023</v>
      </c>
      <c r="G5" s="3">
        <v>2024</v>
      </c>
      <c r="H5" s="2">
        <f t="shared" ref="H5:J5" si="0">G5+1</f>
        <v>2025</v>
      </c>
      <c r="I5" s="1">
        <f t="shared" si="0"/>
        <v>2026</v>
      </c>
      <c r="J5" s="3">
        <f t="shared" si="0"/>
        <v>2027</v>
      </c>
    </row>
    <row r="6" spans="2:11" x14ac:dyDescent="0.25">
      <c r="B6" s="214" t="s">
        <v>5</v>
      </c>
      <c r="C6" s="162">
        <f t="shared" ref="C6:J6" si="1">SUM(C8:C10)</f>
        <v>30.3</v>
      </c>
      <c r="D6" s="162">
        <f t="shared" si="1"/>
        <v>15</v>
      </c>
      <c r="E6" s="162">
        <f t="shared" si="1"/>
        <v>19.100000000000001</v>
      </c>
      <c r="F6" s="120">
        <f t="shared" si="1"/>
        <v>15.899999999999999</v>
      </c>
      <c r="G6" s="119">
        <f t="shared" si="1"/>
        <v>19.100000000000001</v>
      </c>
      <c r="H6" s="120">
        <f t="shared" si="1"/>
        <v>23.700000000000003</v>
      </c>
      <c r="I6" s="162">
        <f t="shared" si="1"/>
        <v>29.299999999999997</v>
      </c>
      <c r="J6" s="119">
        <f t="shared" si="1"/>
        <v>34.700000000000003</v>
      </c>
    </row>
    <row r="7" spans="2:11" x14ac:dyDescent="0.25">
      <c r="B7" s="4" t="s">
        <v>6</v>
      </c>
      <c r="C7" s="134">
        <f t="shared" ref="C7:J7" si="2">SUM(C8:C9)</f>
        <v>2.6</v>
      </c>
      <c r="D7" s="134">
        <f t="shared" si="2"/>
        <v>12.5</v>
      </c>
      <c r="E7" s="134">
        <f t="shared" si="2"/>
        <v>13.2</v>
      </c>
      <c r="F7" s="177">
        <f t="shared" si="2"/>
        <v>15.899999999999999</v>
      </c>
      <c r="G7" s="121">
        <f t="shared" si="2"/>
        <v>19.100000000000001</v>
      </c>
      <c r="H7" s="177">
        <f t="shared" si="2"/>
        <v>23.700000000000003</v>
      </c>
      <c r="I7" s="134">
        <f t="shared" si="2"/>
        <v>29.299999999999997</v>
      </c>
      <c r="J7" s="121">
        <f t="shared" si="2"/>
        <v>34.700000000000003</v>
      </c>
    </row>
    <row r="8" spans="2:11" x14ac:dyDescent="0.25">
      <c r="B8" s="5" t="s">
        <v>7</v>
      </c>
      <c r="C8" s="146">
        <v>2.6</v>
      </c>
      <c r="D8" s="146">
        <v>5.3</v>
      </c>
      <c r="E8" s="146">
        <v>6.8</v>
      </c>
      <c r="F8" s="118">
        <v>7.3</v>
      </c>
      <c r="G8" s="117">
        <v>8.1999999999999993</v>
      </c>
      <c r="H8" s="118">
        <v>10.8</v>
      </c>
      <c r="I8" s="146">
        <v>12.9</v>
      </c>
      <c r="J8" s="117">
        <v>12.8</v>
      </c>
    </row>
    <row r="9" spans="2:11" x14ac:dyDescent="0.25">
      <c r="B9" s="5" t="s">
        <v>8</v>
      </c>
      <c r="C9" s="146">
        <v>0</v>
      </c>
      <c r="D9" s="146">
        <v>7.2</v>
      </c>
      <c r="E9" s="146">
        <v>6.4</v>
      </c>
      <c r="F9" s="118">
        <v>8.6</v>
      </c>
      <c r="G9" s="117">
        <v>10.9</v>
      </c>
      <c r="H9" s="118">
        <v>12.9</v>
      </c>
      <c r="I9" s="146">
        <v>16.399999999999999</v>
      </c>
      <c r="J9" s="117">
        <v>21.9</v>
      </c>
    </row>
    <row r="10" spans="2:11" x14ac:dyDescent="0.25">
      <c r="B10" s="4" t="s">
        <v>9</v>
      </c>
      <c r="C10" s="123">
        <v>27.7</v>
      </c>
      <c r="D10" s="123">
        <v>2.5</v>
      </c>
      <c r="E10" s="123">
        <v>5.9</v>
      </c>
      <c r="F10" s="191"/>
      <c r="G10" s="192"/>
      <c r="H10" s="191"/>
      <c r="I10" s="123"/>
      <c r="J10" s="192"/>
      <c r="K10" s="6" t="s">
        <v>11</v>
      </c>
    </row>
    <row r="11" spans="2:11" x14ac:dyDescent="0.25">
      <c r="B11" s="66" t="s">
        <v>12</v>
      </c>
      <c r="C11" s="148">
        <v>5</v>
      </c>
      <c r="D11" s="148">
        <v>21.1</v>
      </c>
      <c r="E11" s="148">
        <v>13.7</v>
      </c>
      <c r="F11" s="125">
        <v>36</v>
      </c>
      <c r="G11" s="149">
        <v>57.6</v>
      </c>
      <c r="H11" s="125">
        <v>57</v>
      </c>
      <c r="I11" s="148">
        <v>49.7</v>
      </c>
      <c r="J11" s="149">
        <v>47.5</v>
      </c>
      <c r="K11" s="7">
        <f>SUM(G11:J11)</f>
        <v>211.8</v>
      </c>
    </row>
    <row r="12" spans="2:11" x14ac:dyDescent="0.25">
      <c r="B12" s="43" t="s">
        <v>102</v>
      </c>
      <c r="C12" s="195">
        <v>6.2</v>
      </c>
      <c r="D12" s="136">
        <f>C16</f>
        <v>31.5</v>
      </c>
      <c r="E12" s="136">
        <f>D16</f>
        <v>85.4</v>
      </c>
      <c r="F12" s="195">
        <v>78.900000000000006</v>
      </c>
      <c r="G12" s="200">
        <v>70.7</v>
      </c>
      <c r="H12" s="136">
        <f t="shared" ref="H12:J12" si="3">G16</f>
        <v>41.5</v>
      </c>
      <c r="I12" s="136">
        <f t="shared" si="3"/>
        <v>13.400000000000002</v>
      </c>
      <c r="J12" s="137">
        <f t="shared" si="3"/>
        <v>-1.8000000000000034</v>
      </c>
    </row>
    <row r="13" spans="2:11" x14ac:dyDescent="0.25">
      <c r="B13" s="23" t="s">
        <v>13</v>
      </c>
      <c r="C13" s="138">
        <f t="shared" ref="C13:J13" si="4">C6-C11</f>
        <v>25.3</v>
      </c>
      <c r="D13" s="134">
        <f t="shared" si="4"/>
        <v>-6.1000000000000014</v>
      </c>
      <c r="E13" s="134">
        <f t="shared" si="4"/>
        <v>5.4000000000000021</v>
      </c>
      <c r="F13" s="138">
        <f t="shared" si="4"/>
        <v>-20.100000000000001</v>
      </c>
      <c r="G13" s="139">
        <f t="shared" si="4"/>
        <v>-38.5</v>
      </c>
      <c r="H13" s="134">
        <f t="shared" si="4"/>
        <v>-33.299999999999997</v>
      </c>
      <c r="I13" s="134">
        <f t="shared" si="4"/>
        <v>-20.400000000000006</v>
      </c>
      <c r="J13" s="139">
        <f t="shared" si="4"/>
        <v>-12.799999999999997</v>
      </c>
    </row>
    <row r="14" spans="2:11" x14ac:dyDescent="0.25">
      <c r="B14" s="193" t="s">
        <v>10</v>
      </c>
      <c r="C14" s="138"/>
      <c r="D14" s="196">
        <v>60</v>
      </c>
      <c r="E14" s="134"/>
      <c r="F14" s="138"/>
      <c r="G14" s="139"/>
      <c r="H14" s="134"/>
      <c r="I14" s="134"/>
      <c r="J14" s="139"/>
    </row>
    <row r="15" spans="2:11" x14ac:dyDescent="0.25">
      <c r="B15" s="115" t="s">
        <v>14</v>
      </c>
      <c r="C15" s="201"/>
      <c r="D15" s="203"/>
      <c r="E15" s="203"/>
      <c r="F15" s="201">
        <v>6</v>
      </c>
      <c r="G15" s="202">
        <v>9.3000000000000007</v>
      </c>
      <c r="H15" s="203">
        <v>5.2</v>
      </c>
      <c r="I15" s="203">
        <v>5.2</v>
      </c>
      <c r="J15" s="202">
        <v>5.2</v>
      </c>
    </row>
    <row r="16" spans="2:11" x14ac:dyDescent="0.25">
      <c r="B16" s="194" t="s">
        <v>82</v>
      </c>
      <c r="C16" s="197">
        <f>SUM(C12:C15)</f>
        <v>31.5</v>
      </c>
      <c r="D16" s="198">
        <f t="shared" ref="D16:J16" si="5">SUM(D12:D15)</f>
        <v>85.4</v>
      </c>
      <c r="E16" s="198">
        <f t="shared" si="5"/>
        <v>90.800000000000011</v>
      </c>
      <c r="F16" s="197">
        <f t="shared" si="5"/>
        <v>64.800000000000011</v>
      </c>
      <c r="G16" s="199">
        <f t="shared" si="5"/>
        <v>41.5</v>
      </c>
      <c r="H16" s="198">
        <f t="shared" si="5"/>
        <v>13.400000000000002</v>
      </c>
      <c r="I16" s="198">
        <f t="shared" si="5"/>
        <v>-1.8000000000000034</v>
      </c>
      <c r="J16" s="199">
        <f t="shared" si="5"/>
        <v>-9.4000000000000021</v>
      </c>
    </row>
    <row r="17" spans="2:10" x14ac:dyDescent="0.25">
      <c r="B17" s="9"/>
      <c r="C17" s="147"/>
      <c r="D17" s="147"/>
      <c r="E17" s="147"/>
      <c r="F17" s="147"/>
      <c r="G17" s="147"/>
      <c r="H17" s="147"/>
      <c r="I17" s="147"/>
      <c r="J17" s="147"/>
    </row>
    <row r="18" spans="2:10" x14ac:dyDescent="0.25">
      <c r="B18" s="11" t="s">
        <v>15</v>
      </c>
      <c r="C18" s="13">
        <f>C7/Klimageld!$C$12*1000</f>
        <v>31.137724550898206</v>
      </c>
      <c r="D18" s="62">
        <f>D7/Klimageld!$C$12*1000</f>
        <v>149.70059880239521</v>
      </c>
      <c r="E18" s="62">
        <f>E7/Klimageld!$C$12*1000</f>
        <v>158.08383233532933</v>
      </c>
      <c r="F18" s="62">
        <f>F7/Klimageld!$C$12*1000</f>
        <v>190.4191616766467</v>
      </c>
      <c r="G18" s="62">
        <f>G7/Klimageld!$C$12*1000</f>
        <v>228.74251497005991</v>
      </c>
      <c r="H18" s="62">
        <f>H7/Klimageld!$C$12*1000</f>
        <v>283.83233532934139</v>
      </c>
      <c r="I18" s="62">
        <f>I7/Klimageld!$C$12*1000</f>
        <v>350.8982035928143</v>
      </c>
      <c r="J18" s="14">
        <f>J7/Klimageld!$C$12*1000</f>
        <v>415.56886227544913</v>
      </c>
    </row>
    <row r="19" spans="2:10" x14ac:dyDescent="0.25">
      <c r="B19" s="15" t="s">
        <v>16</v>
      </c>
      <c r="C19" s="16"/>
      <c r="D19" s="63">
        <f>D9/Klimageld!$C$12*1000</f>
        <v>86.227544910179645</v>
      </c>
      <c r="E19" s="63">
        <f>E9/Klimageld!$C$12*1000</f>
        <v>76.64670658682634</v>
      </c>
      <c r="F19" s="63">
        <f>F9/Klimageld!$C$12*1000</f>
        <v>102.9940119760479</v>
      </c>
      <c r="G19" s="63">
        <f>G9/Klimageld!$C$12*1000</f>
        <v>130.53892215568862</v>
      </c>
      <c r="H19" s="63">
        <f>H9/Klimageld!$C$12*1000</f>
        <v>154.49101796407186</v>
      </c>
      <c r="I19" s="63">
        <f>I9/Klimageld!$C$12*1000</f>
        <v>196.4071856287425</v>
      </c>
      <c r="J19" s="18">
        <f>J9/Klimageld!$C$12*1000</f>
        <v>262.27544910179643</v>
      </c>
    </row>
    <row r="20" spans="2:10" x14ac:dyDescent="0.25">
      <c r="B20" s="35"/>
      <c r="C20" s="25"/>
      <c r="D20" s="25"/>
      <c r="E20" s="25"/>
      <c r="F20" s="25"/>
      <c r="G20" s="25"/>
      <c r="H20" s="25"/>
      <c r="I20" s="25"/>
      <c r="J20" s="25"/>
    </row>
    <row r="21" spans="2:10" x14ac:dyDescent="0.25">
      <c r="B21" s="10" t="s">
        <v>17</v>
      </c>
      <c r="C21" s="21" t="s">
        <v>18</v>
      </c>
      <c r="D21" s="20" t="s">
        <v>19</v>
      </c>
    </row>
  </sheetData>
  <mergeCells count="3">
    <mergeCell ref="H4:J4"/>
    <mergeCell ref="B2:J2"/>
    <mergeCell ref="B4:B5"/>
  </mergeCells>
  <hyperlinks>
    <hyperlink ref="C21" r:id="rId1" xr:uid="{00000000-0004-0000-0000-000000000000}"/>
  </hyperlinks>
  <pageMargins left="0.7" right="0.7" top="0.78740157499999996" bottom="0.78740157499999996" header="0.3" footer="0.3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2:B5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4.7109375" customWidth="1"/>
    <col min="2" max="2" width="52" customWidth="1"/>
  </cols>
  <sheetData>
    <row r="2" spans="2:2" x14ac:dyDescent="0.25">
      <c r="B2" s="20" t="s">
        <v>77</v>
      </c>
    </row>
    <row r="3" spans="2:2" x14ac:dyDescent="0.25">
      <c r="B3" s="30" t="s">
        <v>78</v>
      </c>
    </row>
    <row r="5" spans="2:2" x14ac:dyDescent="0.25">
      <c r="B5" s="20" t="s">
        <v>79</v>
      </c>
    </row>
  </sheetData>
  <hyperlinks>
    <hyperlink ref="B3" r:id="rId1" xr:uid="{00000000-0004-0000-0700-000000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KTF Stand 8-25</vt:lpstr>
      <vt:lpstr>KTF Ausgaben Stand 8-25</vt:lpstr>
      <vt:lpstr>Klimageld</vt:lpstr>
      <vt:lpstr>EEG-Soli</vt:lpstr>
      <vt:lpstr>KTF 1. Entwurf BH25</vt:lpstr>
      <vt:lpstr>KTF Ausg 1. Entwurf BH25</vt:lpstr>
      <vt:lpstr>KTF nach BH24</vt:lpstr>
      <vt:lpstr>KTF Ausg Entwurf 24</vt:lpstr>
      <vt:lpstr>KTF nach BVerfG</vt:lpstr>
      <vt:lpstr>KTF vor BVerfG</vt:lpstr>
      <vt:lpstr>Impressum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</dc:creator>
  <cp:lastModifiedBy>AW</cp:lastModifiedBy>
  <dcterms:created xsi:type="dcterms:W3CDTF">2022-08-10T18:59:19Z</dcterms:created>
  <dcterms:modified xsi:type="dcterms:W3CDTF">2026-06-28T08:44:03Z</dcterms:modified>
</cp:coreProperties>
</file>